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6015" windowWidth="15480" windowHeight="6075" tabRatio="840" firstSheet="8" activeTab="11"/>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Funds'!$A$1:$Q$57</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Narr'!$A$1:$A$24</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G29" i="15"/>
  <c r="S116" l="1"/>
  <c r="H46" i="18" l="1"/>
  <c r="J45"/>
  <c r="B32" i="3"/>
  <c r="P2751" i="35"/>
  <c r="H2603"/>
  <c r="Q2135"/>
  <c r="R1726"/>
  <c r="Q12" i="36"/>
  <c r="Q1727" i="35" s="1"/>
  <c r="R1727"/>
  <c r="Q13" i="36"/>
  <c r="Q1728" i="35" s="1"/>
  <c r="R1728"/>
  <c r="Q14" i="36"/>
  <c r="Q1729" i="35" s="1"/>
  <c r="R1729"/>
  <c r="Q15" i="36"/>
  <c r="Q1730" i="35"/>
  <c r="R1730"/>
  <c r="Q16" i="36"/>
  <c r="Q1731" i="35" s="1"/>
  <c r="R1731"/>
  <c r="Q17" i="36"/>
  <c r="Q1732" i="35" s="1"/>
  <c r="R1732"/>
  <c r="Q18" i="36"/>
  <c r="Q1733" i="35" s="1"/>
  <c r="R1733"/>
  <c r="Q19" i="36"/>
  <c r="Q1734" i="35"/>
  <c r="R1734"/>
  <c r="Q20" i="36"/>
  <c r="Q1735" i="35" s="1"/>
  <c r="R1735"/>
  <c r="Q21" i="36"/>
  <c r="Q1736" i="35" s="1"/>
  <c r="R1736"/>
  <c r="Q22" i="36"/>
  <c r="Q1737" i="35" s="1"/>
  <c r="R1737"/>
  <c r="Q23" i="36"/>
  <c r="Q1738" i="35"/>
  <c r="R1738"/>
  <c r="Q24" i="36"/>
  <c r="Q1739" i="35" s="1"/>
  <c r="R1739"/>
  <c r="Q25" i="36"/>
  <c r="Q1740" i="35" s="1"/>
  <c r="R1740"/>
  <c r="Q26" i="36"/>
  <c r="Q1741" i="35" s="1"/>
  <c r="R1741"/>
  <c r="Q27" i="36"/>
  <c r="Q1742" i="35"/>
  <c r="R1742"/>
  <c r="Q28" i="36"/>
  <c r="Q1743" i="35" s="1"/>
  <c r="R1743"/>
  <c r="Q29" i="36"/>
  <c r="Q1744" i="35" s="1"/>
  <c r="R1744"/>
  <c r="Q30" i="36"/>
  <c r="Q1745" i="35" s="1"/>
  <c r="R1745"/>
  <c r="Q31" i="36"/>
  <c r="Q1746" i="35"/>
  <c r="R1746"/>
  <c r="Q32" i="36"/>
  <c r="Q1747" i="35" s="1"/>
  <c r="R1747"/>
  <c r="Q33" i="36"/>
  <c r="Q1748" i="35" s="1"/>
  <c r="R1748"/>
  <c r="Q34" i="36"/>
  <c r="Q1749" i="35" s="1"/>
  <c r="R1749"/>
  <c r="Q35" i="36"/>
  <c r="Q1750" i="35"/>
  <c r="R1750"/>
  <c r="Q36" i="36"/>
  <c r="Q1751" i="35" s="1"/>
  <c r="R1751"/>
  <c r="Q37" i="36"/>
  <c r="Q1752" i="35" s="1"/>
  <c r="R1752"/>
  <c r="Q38" i="36"/>
  <c r="Q1753" i="35" s="1"/>
  <c r="R1753"/>
  <c r="Q39" i="36"/>
  <c r="Q1754" i="35"/>
  <c r="R1754"/>
  <c r="Q40" i="36"/>
  <c r="Q1755" i="35" s="1"/>
  <c r="R1755"/>
  <c r="Q41" i="36"/>
  <c r="Q1756" i="35" s="1"/>
  <c r="R1756"/>
  <c r="Q42" i="36"/>
  <c r="Q1757" i="35" s="1"/>
  <c r="R1757"/>
  <c r="Q43" i="36"/>
  <c r="Q1758" i="35"/>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M2576" s="1"/>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E128"/>
  <c r="C128"/>
  <c r="K93"/>
  <c r="I93"/>
  <c r="H93"/>
  <c r="G93"/>
  <c r="F93"/>
  <c r="E93"/>
  <c r="D93"/>
  <c r="C93"/>
  <c r="B93"/>
  <c r="K58"/>
  <c r="J58"/>
  <c r="I58"/>
  <c r="H58"/>
  <c r="G58"/>
  <c r="F58"/>
  <c r="E58"/>
  <c r="D58"/>
  <c r="C58"/>
  <c r="B58"/>
  <c r="K23"/>
  <c r="J23"/>
  <c r="I23"/>
  <c r="H23"/>
  <c r="G23"/>
  <c r="F23"/>
  <c r="E23"/>
  <c r="D23"/>
  <c r="C23"/>
  <c r="B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J1616"/>
  <c r="J1615"/>
  <c r="G1616"/>
  <c r="G1615"/>
  <c r="G1617" s="1"/>
  <c r="P1612"/>
  <c r="P1611"/>
  <c r="P1613" s="1"/>
  <c r="M1612"/>
  <c r="M1611"/>
  <c r="M1613" s="1"/>
  <c r="J1612"/>
  <c r="S1612"/>
  <c r="S1611"/>
  <c r="S1610"/>
  <c r="S1608"/>
  <c r="S1607"/>
  <c r="G1608"/>
  <c r="G1610"/>
  <c r="G1612"/>
  <c r="A1612" s="1"/>
  <c r="S1604"/>
  <c r="S1603"/>
  <c r="S1602"/>
  <c r="P1604"/>
  <c r="P1603"/>
  <c r="P1602"/>
  <c r="P1605" s="1"/>
  <c r="M1604"/>
  <c r="M1603"/>
  <c r="M1602"/>
  <c r="J1604"/>
  <c r="J1603"/>
  <c r="G1603"/>
  <c r="G1604"/>
  <c r="S1599"/>
  <c r="S1598"/>
  <c r="S1597"/>
  <c r="S1596"/>
  <c r="G1597"/>
  <c r="G1598"/>
  <c r="G1599"/>
  <c r="S1593"/>
  <c r="S1592"/>
  <c r="S1591"/>
  <c r="S1590"/>
  <c r="S1589"/>
  <c r="S1587"/>
  <c r="S1586"/>
  <c r="S1585"/>
  <c r="G1586"/>
  <c r="G1587"/>
  <c r="G1589"/>
  <c r="G1590"/>
  <c r="G1591"/>
  <c r="G1592"/>
  <c r="G1593"/>
  <c r="U1593" s="1"/>
  <c r="G1607"/>
  <c r="G1596"/>
  <c r="G1585"/>
  <c r="S1578"/>
  <c r="S1577"/>
  <c r="S1576"/>
  <c r="S1575"/>
  <c r="S1574"/>
  <c r="S1573"/>
  <c r="S1572"/>
  <c r="P1578"/>
  <c r="P1577"/>
  <c r="P1576"/>
  <c r="P1575"/>
  <c r="P1574"/>
  <c r="M1578"/>
  <c r="M1577"/>
  <c r="M1576"/>
  <c r="M1575"/>
  <c r="M1574"/>
  <c r="M1579" s="1"/>
  <c r="J1575"/>
  <c r="J1576"/>
  <c r="J1577"/>
  <c r="J1578"/>
  <c r="G1573"/>
  <c r="G1574"/>
  <c r="G1575"/>
  <c r="G1576"/>
  <c r="G1577"/>
  <c r="G1578"/>
  <c r="A1578" s="1"/>
  <c r="S1569"/>
  <c r="S1568"/>
  <c r="S1567"/>
  <c r="S1566"/>
  <c r="S1570" s="1"/>
  <c r="P1569"/>
  <c r="P1568"/>
  <c r="P1567"/>
  <c r="P1566"/>
  <c r="P1570" s="1"/>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G1556"/>
  <c r="G1557"/>
  <c r="G1558"/>
  <c r="G1559"/>
  <c r="G1560"/>
  <c r="G1561"/>
  <c r="G1562"/>
  <c r="G1563"/>
  <c r="U1563" s="1"/>
  <c r="S1551"/>
  <c r="S1550"/>
  <c r="S1549"/>
  <c r="S1548"/>
  <c r="S1547"/>
  <c r="S1546"/>
  <c r="S1545"/>
  <c r="S1544"/>
  <c r="S1552" s="1"/>
  <c r="P1551"/>
  <c r="P1550"/>
  <c r="P1549"/>
  <c r="P1548"/>
  <c r="P1547"/>
  <c r="P1546"/>
  <c r="P1545"/>
  <c r="P1544"/>
  <c r="P1552" s="1"/>
  <c r="M1551"/>
  <c r="M1550"/>
  <c r="M1549"/>
  <c r="M1548"/>
  <c r="M1547"/>
  <c r="M1546"/>
  <c r="M1545"/>
  <c r="M1544"/>
  <c r="M1552" s="1"/>
  <c r="J1551"/>
  <c r="J1550"/>
  <c r="J1549"/>
  <c r="J1548"/>
  <c r="J1547"/>
  <c r="J1546"/>
  <c r="J1545"/>
  <c r="J1544"/>
  <c r="G1545"/>
  <c r="G1546"/>
  <c r="G1547"/>
  <c r="G1548"/>
  <c r="G1549"/>
  <c r="G1550"/>
  <c r="G1551"/>
  <c r="J1574"/>
  <c r="J1579" s="1"/>
  <c r="G1572"/>
  <c r="G1566"/>
  <c r="S1538"/>
  <c r="P1538"/>
  <c r="M1538"/>
  <c r="S1531"/>
  <c r="S1530"/>
  <c r="P1531"/>
  <c r="P1530"/>
  <c r="M1531"/>
  <c r="M1530"/>
  <c r="M1532" s="1"/>
  <c r="S1527"/>
  <c r="S1526"/>
  <c r="S1525"/>
  <c r="P1527"/>
  <c r="P1526"/>
  <c r="P1525"/>
  <c r="P1528" s="1"/>
  <c r="M1527"/>
  <c r="M1526"/>
  <c r="M1525"/>
  <c r="J1527"/>
  <c r="J1526"/>
  <c r="J1525"/>
  <c r="J1528" s="1"/>
  <c r="G1526"/>
  <c r="G1527"/>
  <c r="G1544"/>
  <c r="G1552" s="1"/>
  <c r="G1525"/>
  <c r="G1528" s="1"/>
  <c r="S1522"/>
  <c r="S1521"/>
  <c r="S1523" s="1"/>
  <c r="J1522"/>
  <c r="J1521"/>
  <c r="J1523" s="1"/>
  <c r="G1522"/>
  <c r="M1518"/>
  <c r="S1516"/>
  <c r="S1517"/>
  <c r="S1518"/>
  <c r="G1516"/>
  <c r="G1517"/>
  <c r="G1518"/>
  <c r="S1512"/>
  <c r="S1511"/>
  <c r="S1510"/>
  <c r="S1509"/>
  <c r="S1508"/>
  <c r="S1507"/>
  <c r="S1506"/>
  <c r="S1505"/>
  <c r="S1504"/>
  <c r="G1521"/>
  <c r="G1523" s="1"/>
  <c r="M1521"/>
  <c r="P1521"/>
  <c r="P1523" s="1"/>
  <c r="S1515"/>
  <c r="M1517"/>
  <c r="G1515"/>
  <c r="P1512"/>
  <c r="P1511"/>
  <c r="P1510"/>
  <c r="P1509"/>
  <c r="P1508"/>
  <c r="P1507"/>
  <c r="P1506"/>
  <c r="P1505"/>
  <c r="P1504"/>
  <c r="P1513" s="1"/>
  <c r="M1512"/>
  <c r="M1511"/>
  <c r="M1510"/>
  <c r="M1509"/>
  <c r="M1508"/>
  <c r="M1507"/>
  <c r="M1506"/>
  <c r="M1505"/>
  <c r="M1504"/>
  <c r="J1512"/>
  <c r="J1511"/>
  <c r="J1510"/>
  <c r="J1509"/>
  <c r="J1508"/>
  <c r="J1507"/>
  <c r="J1506"/>
  <c r="J1505"/>
  <c r="J1504"/>
  <c r="G1505"/>
  <c r="G1506"/>
  <c r="G1507"/>
  <c r="G1508"/>
  <c r="G1509"/>
  <c r="G1510"/>
  <c r="U1510" s="1"/>
  <c r="G1511"/>
  <c r="G1512"/>
  <c r="U1512" s="1"/>
  <c r="G1504"/>
  <c r="J1617"/>
  <c r="M1519"/>
  <c r="M1523"/>
  <c r="M1528"/>
  <c r="M1570"/>
  <c r="M1617"/>
  <c r="P1532"/>
  <c r="P1579"/>
  <c r="J1652"/>
  <c r="G1570"/>
  <c r="S1513"/>
  <c r="S1532"/>
  <c r="S1579"/>
  <c r="A1616"/>
  <c r="O1614"/>
  <c r="U1612"/>
  <c r="O1606"/>
  <c r="F1604"/>
  <c r="F1603"/>
  <c r="O1601"/>
  <c r="U1599"/>
  <c r="O1595"/>
  <c r="A1593"/>
  <c r="E1588"/>
  <c r="O1584"/>
  <c r="O1571"/>
  <c r="O1565"/>
  <c r="A1563"/>
  <c r="O1553"/>
  <c r="U1551"/>
  <c r="A1551"/>
  <c r="O1543"/>
  <c r="O1537"/>
  <c r="E1531"/>
  <c r="F1531" s="1"/>
  <c r="E1530"/>
  <c r="F1530" s="1"/>
  <c r="O1529"/>
  <c r="O1524"/>
  <c r="O1520"/>
  <c r="O1514"/>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90"/>
  <c r="H391"/>
  <c r="H392"/>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L2549"/>
  <c r="L2548"/>
  <c r="L2534"/>
  <c r="R2523"/>
  <c r="L2523"/>
  <c r="P2509"/>
  <c r="K2509"/>
  <c r="G2503" s="1"/>
  <c r="F2509"/>
  <c r="G2504"/>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E2017"/>
  <c r="D2017"/>
  <c r="C2017"/>
  <c r="B2017"/>
  <c r="A1962"/>
  <c r="A1997"/>
  <c r="A2032" s="1"/>
  <c r="A1961"/>
  <c r="A1996" s="1"/>
  <c r="A2031" s="1"/>
  <c r="A1925"/>
  <c r="A1960" s="1"/>
  <c r="A1995" s="1"/>
  <c r="A2030" s="1"/>
  <c r="A1924"/>
  <c r="A1959" s="1"/>
  <c r="A1994" s="1"/>
  <c r="A2029" s="1"/>
  <c r="E2028"/>
  <c r="C2028"/>
  <c r="A1923"/>
  <c r="A1958" s="1"/>
  <c r="A1993" s="1"/>
  <c r="A2028" s="1"/>
  <c r="F2027"/>
  <c r="E2027"/>
  <c r="D2027"/>
  <c r="C2027"/>
  <c r="B2027"/>
  <c r="A1922"/>
  <c r="A1957" s="1"/>
  <c r="A1992" s="1"/>
  <c r="A2027" s="1"/>
  <c r="C1901"/>
  <c r="D1901"/>
  <c r="E1901" s="1"/>
  <c r="F1901"/>
  <c r="G1901" s="1"/>
  <c r="H1901" s="1"/>
  <c r="A1951"/>
  <c r="A1986" s="1"/>
  <c r="A2021"/>
  <c r="A1950"/>
  <c r="A1985"/>
  <c r="A2020" s="1"/>
  <c r="A1914"/>
  <c r="A1949" s="1"/>
  <c r="A1984" s="1"/>
  <c r="A2019" s="1"/>
  <c r="A1913"/>
  <c r="A1948" s="1"/>
  <c r="A1983" s="1"/>
  <c r="A2018" s="1"/>
  <c r="A1912"/>
  <c r="A1947" s="1"/>
  <c r="A1982" s="1"/>
  <c r="A2017" s="1"/>
  <c r="A1911"/>
  <c r="A1946" s="1"/>
  <c r="A1981" s="1"/>
  <c r="A2016" s="1"/>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6"/>
  <c r="J1976"/>
  <c r="I1976"/>
  <c r="H1976"/>
  <c r="G1976"/>
  <c r="F1976"/>
  <c r="E1976"/>
  <c r="D1976"/>
  <c r="C1976"/>
  <c r="B1976"/>
  <c r="K1975"/>
  <c r="J1975"/>
  <c r="I1975"/>
  <c r="H1975"/>
  <c r="G1975"/>
  <c r="F1975"/>
  <c r="E1975"/>
  <c r="D1975"/>
  <c r="C1975"/>
  <c r="B1975"/>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58"/>
  <c r="J1958"/>
  <c r="I1958"/>
  <c r="H1958"/>
  <c r="G1958"/>
  <c r="F1958"/>
  <c r="E1958"/>
  <c r="D1958"/>
  <c r="C1958"/>
  <c r="B1958"/>
  <c r="K1957"/>
  <c r="J1957"/>
  <c r="I1957"/>
  <c r="H1957"/>
  <c r="G1957"/>
  <c r="F1957"/>
  <c r="E1957"/>
  <c r="D1957"/>
  <c r="C1957"/>
  <c r="B1957"/>
  <c r="K1941"/>
  <c r="J1941"/>
  <c r="I1941"/>
  <c r="H1941"/>
  <c r="G1941"/>
  <c r="F1941"/>
  <c r="E1941"/>
  <c r="D1941"/>
  <c r="C1941"/>
  <c r="B1941"/>
  <c r="K1940"/>
  <c r="J1940"/>
  <c r="I1940"/>
  <c r="H1940"/>
  <c r="G1940"/>
  <c r="F1940"/>
  <c r="E1940"/>
  <c r="D1940"/>
  <c r="C1940"/>
  <c r="B1940"/>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G1902"/>
  <c r="G1910" s="1"/>
  <c r="G1921" s="1"/>
  <c r="F1902"/>
  <c r="F1910"/>
  <c r="F1921" s="1"/>
  <c r="E1902"/>
  <c r="E1910" s="1"/>
  <c r="E1921" s="1"/>
  <c r="D1902"/>
  <c r="D1910"/>
  <c r="D1921" s="1"/>
  <c r="C1902"/>
  <c r="C1910" s="1"/>
  <c r="C1921" s="1"/>
  <c r="B1902"/>
  <c r="B1903"/>
  <c r="B1904" s="1"/>
  <c r="B1905"/>
  <c r="B1906"/>
  <c r="B1907"/>
  <c r="B1909"/>
  <c r="G1909"/>
  <c r="F1909"/>
  <c r="E1909"/>
  <c r="D1909"/>
  <c r="C1909"/>
  <c r="G1907"/>
  <c r="F1907"/>
  <c r="E1907"/>
  <c r="D1907"/>
  <c r="C1907"/>
  <c r="K1906"/>
  <c r="J1906"/>
  <c r="I1906"/>
  <c r="H1906"/>
  <c r="G1906"/>
  <c r="F1906"/>
  <c r="E1906"/>
  <c r="D1906"/>
  <c r="C1906"/>
  <c r="K1905"/>
  <c r="J1905"/>
  <c r="I1905"/>
  <c r="H1905"/>
  <c r="G1905"/>
  <c r="F1905"/>
  <c r="E1905"/>
  <c r="D1905"/>
  <c r="C1905"/>
  <c r="G1903"/>
  <c r="G1904" s="1"/>
  <c r="F1903"/>
  <c r="F1904" s="1"/>
  <c r="E1903"/>
  <c r="E1904" s="1"/>
  <c r="D1903"/>
  <c r="D1904" s="1"/>
  <c r="C1903"/>
  <c r="C1904" s="1"/>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c r="O166"/>
  <c r="O180"/>
  <c r="O2672" i="35" s="1"/>
  <c r="O2667" s="1"/>
  <c r="O191" i="11"/>
  <c r="O199"/>
  <c r="O235"/>
  <c r="O227" s="1"/>
  <c r="O270"/>
  <c r="O279"/>
  <c r="J25" i="7"/>
  <c r="J54" i="35" s="1"/>
  <c r="I17" i="29"/>
  <c r="J17" i="15"/>
  <c r="J27"/>
  <c r="J32"/>
  <c r="J56"/>
  <c r="J74"/>
  <c r="J83"/>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123" s="1"/>
  <c r="P140" s="1"/>
  <c r="P142" s="1"/>
  <c r="P144" s="1"/>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7" i="15"/>
  <c r="G23"/>
  <c r="G27"/>
  <c r="G32"/>
  <c r="G56"/>
  <c r="G74"/>
  <c r="G83"/>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E48" s="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F34"/>
  <c r="E35"/>
  <c r="E33"/>
  <c r="S36"/>
  <c r="F35"/>
  <c r="S17"/>
  <c r="S23"/>
  <c r="S27"/>
  <c r="S32"/>
  <c r="S56"/>
  <c r="S68"/>
  <c r="S74"/>
  <c r="S83"/>
  <c r="S104"/>
  <c r="S109"/>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8" i="11"/>
  <c r="P55"/>
  <c r="P139"/>
  <c r="P132"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727" i="35" s="1"/>
  <c r="P13" i="36"/>
  <c r="P1728" i="35" s="1"/>
  <c r="P14" i="36"/>
  <c r="P1729" i="35" s="1"/>
  <c r="P10" i="36"/>
  <c r="P1725" i="35" s="1"/>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c r="A95" s="1"/>
  <c r="A130" s="1"/>
  <c r="A24"/>
  <c r="A59"/>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49" i="8"/>
  <c r="F2037" i="35" s="1"/>
  <c r="E149" i="8"/>
  <c r="E2037" i="35" s="1"/>
  <c r="D149" i="8"/>
  <c r="D2037" i="35" s="1"/>
  <c r="C149" i="8"/>
  <c r="C2037" i="35" s="1"/>
  <c r="B149" i="8"/>
  <c r="B2037" i="35" s="1"/>
  <c r="F148" i="8"/>
  <c r="F2036" i="35" s="1"/>
  <c r="E148" i="8"/>
  <c r="E2036" i="35" s="1"/>
  <c r="D148" i="8"/>
  <c r="D2036" i="35" s="1"/>
  <c r="C148" i="8"/>
  <c r="C2036" i="35" s="1"/>
  <c r="B148" i="8"/>
  <c r="B2036"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B43" i="8"/>
  <c r="B1931" i="35" s="1"/>
  <c r="B44" i="8"/>
  <c r="B1932" i="35" s="1"/>
  <c r="M390"/>
  <c r="B1918"/>
  <c r="M388"/>
  <c r="F132" i="8"/>
  <c r="F2020" i="35" s="1"/>
  <c r="E132" i="8"/>
  <c r="E2020" i="35" s="1"/>
  <c r="D132" i="8"/>
  <c r="D2020" i="35" s="1"/>
  <c r="C132" i="8"/>
  <c r="C2020" i="35" s="1"/>
  <c r="B132" i="8"/>
  <c r="B2020" i="35" s="1"/>
  <c r="M34" i="3"/>
  <c r="M387" i="35" s="1"/>
  <c r="F131" i="8"/>
  <c r="F2019" i="35" s="1"/>
  <c r="E131" i="8"/>
  <c r="E2019" i="35" s="1"/>
  <c r="D131" i="8"/>
  <c r="D2019" i="35" s="1"/>
  <c r="C131" i="8"/>
  <c r="C2019" i="35" s="1"/>
  <c r="B131" i="8"/>
  <c r="B2019" i="35" s="1"/>
  <c r="M33" i="3"/>
  <c r="C26" i="8"/>
  <c r="C1914" i="35" s="1"/>
  <c r="E26" i="8"/>
  <c r="E1914" i="35" s="1"/>
  <c r="G26" i="8"/>
  <c r="G1914" i="35" s="1"/>
  <c r="I26" i="8"/>
  <c r="I1914" i="35" s="1"/>
  <c r="K26" i="8"/>
  <c r="K1914" i="35" s="1"/>
  <c r="D27" i="8"/>
  <c r="D1915" i="35" s="1"/>
  <c r="F27" i="8"/>
  <c r="F1915" i="35" s="1"/>
  <c r="H27" i="8"/>
  <c r="H1915" i="35" s="1"/>
  <c r="J27" i="8"/>
  <c r="J1915" i="35" s="1"/>
  <c r="B26" i="8"/>
  <c r="B1914" i="35"/>
  <c r="B27" i="8"/>
  <c r="B1915" i="35" s="1"/>
  <c r="AX48" i="36"/>
  <c r="H65" s="1"/>
  <c r="AZ48"/>
  <c r="J65" s="1"/>
  <c r="BB48"/>
  <c r="L65" s="1"/>
  <c r="AT48"/>
  <c r="I66" s="1"/>
  <c r="AV48"/>
  <c r="K66" s="1"/>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AA65" i="36"/>
  <c r="AC65"/>
  <c r="Z66"/>
  <c r="AB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c r="E13" s="1"/>
  <c r="F13"/>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C139" i="8"/>
  <c r="E139"/>
  <c r="B129"/>
  <c r="C129"/>
  <c r="C140" s="1"/>
  <c r="D129"/>
  <c r="E129"/>
  <c r="E140" s="1"/>
  <c r="F129"/>
  <c r="F140" s="1"/>
  <c r="A148"/>
  <c r="A147"/>
  <c r="A146"/>
  <c r="A113"/>
  <c r="A112"/>
  <c r="A111"/>
  <c r="A78"/>
  <c r="A77"/>
  <c r="A76"/>
  <c r="K94"/>
  <c r="K105" s="1"/>
  <c r="J94"/>
  <c r="I94"/>
  <c r="I105" s="1"/>
  <c r="H94"/>
  <c r="G94"/>
  <c r="G105" s="1"/>
  <c r="F94"/>
  <c r="E94"/>
  <c r="E105" s="1"/>
  <c r="D94"/>
  <c r="C94"/>
  <c r="C105" s="1"/>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c r="C88" i="8" s="1"/>
  <c r="B39" i="26"/>
  <c r="I134" i="36"/>
  <c r="I137" s="1"/>
  <c r="D88" i="8" s="1"/>
  <c r="B40" i="26"/>
  <c r="J134" i="36"/>
  <c r="J137" s="1"/>
  <c r="E88" i="8" s="1"/>
  <c r="B41" i="26"/>
  <c r="K134" i="36"/>
  <c r="K137" s="1"/>
  <c r="F88" i="8" s="1"/>
  <c r="B42" i="26"/>
  <c r="L134" i="36"/>
  <c r="L137"/>
  <c r="G88" i="8" s="1"/>
  <c r="B43" i="26"/>
  <c r="M134" i="36"/>
  <c r="M137" s="1"/>
  <c r="H88" i="8" s="1"/>
  <c r="B44" i="26"/>
  <c r="N134" i="36"/>
  <c r="N137" s="1"/>
  <c r="I88" i="8" s="1"/>
  <c r="B45" i="26"/>
  <c r="O134" i="36"/>
  <c r="O137" s="1"/>
  <c r="J88" i="8" s="1"/>
  <c r="B46" i="26"/>
  <c r="P134" i="36"/>
  <c r="P137"/>
  <c r="K88" i="8" s="1"/>
  <c r="B37" i="26"/>
  <c r="G134" i="36"/>
  <c r="G137" s="1"/>
  <c r="B88" i="8" s="1"/>
  <c r="B28" i="26"/>
  <c r="H123" i="36"/>
  <c r="H126" s="1"/>
  <c r="C53" i="8" s="1"/>
  <c r="B29" i="26"/>
  <c r="I123" i="36"/>
  <c r="I126" s="1"/>
  <c r="D53" i="8" s="1"/>
  <c r="B30" i="26"/>
  <c r="J123" i="36"/>
  <c r="J126"/>
  <c r="E53" i="8" s="1"/>
  <c r="B31" i="26"/>
  <c r="K123" i="36"/>
  <c r="K126" s="1"/>
  <c r="F53" i="8" s="1"/>
  <c r="B32" i="26"/>
  <c r="L123" i="36"/>
  <c r="L126" s="1"/>
  <c r="G53" i="8" s="1"/>
  <c r="B33" i="26"/>
  <c r="M123" i="36"/>
  <c r="M126" s="1"/>
  <c r="H53" i="8" s="1"/>
  <c r="B34" i="26"/>
  <c r="N123" i="36"/>
  <c r="N126"/>
  <c r="I53" i="8" s="1"/>
  <c r="B35" i="26"/>
  <c r="O123" i="36"/>
  <c r="O126" s="1"/>
  <c r="J53" i="8" s="1"/>
  <c r="B36" i="26"/>
  <c r="P123" i="36"/>
  <c r="P126" s="1"/>
  <c r="K53" i="8" s="1"/>
  <c r="B27" i="26"/>
  <c r="G123" i="36"/>
  <c r="G126" s="1"/>
  <c r="B53" i="8" s="1"/>
  <c r="B18" i="26"/>
  <c r="H112" i="36"/>
  <c r="H115"/>
  <c r="C18" i="8" s="1"/>
  <c r="B19" i="26"/>
  <c r="I112" i="36"/>
  <c r="I115" s="1"/>
  <c r="D18" i="8" s="1"/>
  <c r="B20" i="26"/>
  <c r="J112" i="36"/>
  <c r="J115" s="1"/>
  <c r="E18" i="8" s="1"/>
  <c r="B21" i="26"/>
  <c r="K112" i="36"/>
  <c r="K115" s="1"/>
  <c r="F18" i="8" s="1"/>
  <c r="B22" i="26"/>
  <c r="L112" i="36"/>
  <c r="L115"/>
  <c r="G18" i="8" s="1"/>
  <c r="B23" i="26"/>
  <c r="M112" i="36"/>
  <c r="M115" s="1"/>
  <c r="H18" i="8" s="1"/>
  <c r="B24" i="26"/>
  <c r="N112" i="36"/>
  <c r="N115" s="1"/>
  <c r="I18" i="8" s="1"/>
  <c r="B25" i="26"/>
  <c r="O112" i="36"/>
  <c r="O115" s="1"/>
  <c r="J18" i="8" s="1"/>
  <c r="B26" i="26"/>
  <c r="P112" i="36"/>
  <c r="P115"/>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B105" i="8"/>
  <c r="H105"/>
  <c r="F105"/>
  <c r="D105"/>
  <c r="C59"/>
  <c r="C70" s="1"/>
  <c r="D59"/>
  <c r="E59"/>
  <c r="E70" s="1"/>
  <c r="F59"/>
  <c r="G59"/>
  <c r="G70" s="1"/>
  <c r="H59"/>
  <c r="I59"/>
  <c r="I70" s="1"/>
  <c r="J59"/>
  <c r="K59"/>
  <c r="K70" s="1"/>
  <c r="B59"/>
  <c r="G120" i="36"/>
  <c r="B52" i="8" s="1"/>
  <c r="P120" i="36"/>
  <c r="K52" i="8" s="1"/>
  <c r="O120" i="36"/>
  <c r="J52" i="8"/>
  <c r="N120" i="36"/>
  <c r="I52" i="8" s="1"/>
  <c r="M120" i="36"/>
  <c r="H52" i="8"/>
  <c r="L120" i="36"/>
  <c r="G52" i="8" s="1"/>
  <c r="K120" i="36"/>
  <c r="F52" i="8"/>
  <c r="J120" i="36"/>
  <c r="E52" i="8" s="1"/>
  <c r="I120" i="36"/>
  <c r="D52" i="8"/>
  <c r="H120" i="36"/>
  <c r="C52" i="8" s="1"/>
  <c r="C24"/>
  <c r="D24"/>
  <c r="E24"/>
  <c r="F24"/>
  <c r="G24"/>
  <c r="H24"/>
  <c r="I24"/>
  <c r="J24"/>
  <c r="K24"/>
  <c r="B24"/>
  <c r="G109" i="36"/>
  <c r="B17" i="8"/>
  <c r="H109" i="36"/>
  <c r="C17" i="8"/>
  <c r="C35"/>
  <c r="I109" i="36"/>
  <c r="D17" i="8" s="1"/>
  <c r="J109" i="36"/>
  <c r="E17" i="8"/>
  <c r="E35"/>
  <c r="K109" i="36"/>
  <c r="F17" i="8" s="1"/>
  <c r="L109" i="36"/>
  <c r="G17" i="8"/>
  <c r="G35"/>
  <c r="M109" i="36"/>
  <c r="H17" i="8" s="1"/>
  <c r="N109" i="36"/>
  <c r="I17" i="8"/>
  <c r="I35"/>
  <c r="O109" i="36"/>
  <c r="J17" i="8" s="1"/>
  <c r="P109" i="36"/>
  <c r="K17" i="8"/>
  <c r="K35"/>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s="1"/>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s="1"/>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I104"/>
  <c r="H104"/>
  <c r="G104"/>
  <c r="F104"/>
  <c r="E104"/>
  <c r="D104"/>
  <c r="C104"/>
  <c r="B104"/>
  <c r="K69"/>
  <c r="J69"/>
  <c r="I69"/>
  <c r="H69"/>
  <c r="G69"/>
  <c r="F69"/>
  <c r="E69"/>
  <c r="D69"/>
  <c r="C69"/>
  <c r="B69"/>
  <c r="C34"/>
  <c r="D34"/>
  <c r="E34"/>
  <c r="F34"/>
  <c r="G34"/>
  <c r="H34"/>
  <c r="I34"/>
  <c r="J34"/>
  <c r="K34"/>
  <c r="B34"/>
  <c r="GH10" i="36"/>
  <c r="GC10"/>
  <c r="GC48" s="1"/>
  <c r="FX10"/>
  <c r="FS10"/>
  <c r="GL10"/>
  <c r="GK10"/>
  <c r="GK48" s="1"/>
  <c r="GJ10"/>
  <c r="GI10"/>
  <c r="GI48" s="1"/>
  <c r="GG10"/>
  <c r="GF10"/>
  <c r="GF48" s="1"/>
  <c r="GE10"/>
  <c r="GD10"/>
  <c r="GD48" s="1"/>
  <c r="GB10"/>
  <c r="GA10"/>
  <c r="GA48" s="1"/>
  <c r="FZ10"/>
  <c r="FY10"/>
  <c r="FY48" s="1"/>
  <c r="FW10"/>
  <c r="FV10"/>
  <c r="FU10"/>
  <c r="FU48" s="1"/>
  <c r="FT10"/>
  <c r="FW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H92" s="1"/>
  <c r="AM48"/>
  <c r="L60" s="1"/>
  <c r="AL48"/>
  <c r="K60" s="1"/>
  <c r="AK48"/>
  <c r="AA60" s="1"/>
  <c r="AJ48"/>
  <c r="I60" s="1"/>
  <c r="AI48"/>
  <c r="H60" s="1"/>
  <c r="AC48"/>
  <c r="L58" s="1"/>
  <c r="X48"/>
  <c r="AC57" s="1"/>
  <c r="AB48"/>
  <c r="K58" s="1"/>
  <c r="W48"/>
  <c r="K57" s="1"/>
  <c r="AA48"/>
  <c r="J58" s="1"/>
  <c r="V48"/>
  <c r="AA57" s="1"/>
  <c r="Z48"/>
  <c r="I58" s="1"/>
  <c r="U48"/>
  <c r="I57" s="1"/>
  <c r="Y48"/>
  <c r="H58" s="1"/>
  <c r="T48"/>
  <c r="Y57" s="1"/>
  <c r="M123" i="15"/>
  <c r="M140" s="1"/>
  <c r="M142" s="1"/>
  <c r="M144" s="1"/>
  <c r="O38" i="11"/>
  <c r="O2530" i="35" s="1"/>
  <c r="O2786" s="1"/>
  <c r="O2498" s="1"/>
  <c r="O2532"/>
  <c r="P38" i="11"/>
  <c r="P2530" i="35" s="1"/>
  <c r="P2786" s="1"/>
  <c r="P2498" s="1"/>
  <c r="P2532"/>
  <c r="A3"/>
  <c r="A354"/>
  <c r="A414"/>
  <c r="A471"/>
  <c r="G471"/>
  <c r="A959"/>
  <c r="A1008"/>
  <c r="I1675"/>
  <c r="R2672"/>
  <c r="H57" i="36"/>
  <c r="Y58"/>
  <c r="Z57"/>
  <c r="Z58"/>
  <c r="J57"/>
  <c r="AA58"/>
  <c r="AB57"/>
  <c r="AB58"/>
  <c r="L57"/>
  <c r="AC58"/>
  <c r="Y60"/>
  <c r="Z60"/>
  <c r="J60"/>
  <c r="AB60"/>
  <c r="AC60"/>
  <c r="Y92"/>
  <c r="B1908" i="35" l="1"/>
  <c r="B1928" s="1"/>
  <c r="GB1763"/>
  <c r="GJ1763"/>
  <c r="EX1763"/>
  <c r="AC1800" s="1"/>
  <c r="ET1763"/>
  <c r="Y1800" s="1"/>
  <c r="FC1763"/>
  <c r="AC1801" s="1"/>
  <c r="FB1763"/>
  <c r="AB1801" s="1"/>
  <c r="FR1763"/>
  <c r="AC1802" s="1"/>
  <c r="FN1763"/>
  <c r="Y1802" s="1"/>
  <c r="FL1763"/>
  <c r="AB1803" s="1"/>
  <c r="FH1763"/>
  <c r="AC1804" s="1"/>
  <c r="FD1763"/>
  <c r="Y1804" s="1"/>
  <c r="M1513"/>
  <c r="M1564"/>
  <c r="P1564"/>
  <c r="P1619" s="1"/>
  <c r="P1636" s="1"/>
  <c r="S1564"/>
  <c r="M1605"/>
  <c r="S1605"/>
  <c r="U1616"/>
  <c r="P1633"/>
  <c r="P1637" s="1"/>
  <c r="J1552"/>
  <c r="S1528"/>
  <c r="M386"/>
  <c r="A1512"/>
  <c r="J1513"/>
  <c r="J1570"/>
  <c r="S1600"/>
  <c r="G1600"/>
  <c r="J1654"/>
  <c r="S1519"/>
  <c r="C136" i="8"/>
  <c r="C2024" i="35" s="1"/>
  <c r="E136" i="8"/>
  <c r="E2024" i="35" s="1"/>
  <c r="B136" i="8"/>
  <c r="D136"/>
  <c r="F136"/>
  <c r="B1910" i="35"/>
  <c r="A1599"/>
  <c r="U1592"/>
  <c r="U1578"/>
  <c r="G1519"/>
  <c r="U1511"/>
  <c r="DE1763"/>
  <c r="DN1763"/>
  <c r="DI1763"/>
  <c r="DC1763"/>
  <c r="DL1763"/>
  <c r="DG1763"/>
  <c r="DB1763"/>
  <c r="DK1763"/>
  <c r="FM48" i="36"/>
  <c r="AC88" s="1"/>
  <c r="FH48"/>
  <c r="L89" s="1"/>
  <c r="FD48"/>
  <c r="H89" s="1"/>
  <c r="FJ48"/>
  <c r="I88" s="1"/>
  <c r="FR48"/>
  <c r="L87" s="1"/>
  <c r="FP48"/>
  <c r="J87" s="1"/>
  <c r="FC48"/>
  <c r="AC86" s="1"/>
  <c r="ET48"/>
  <c r="H85" s="1"/>
  <c r="FP1763" i="35"/>
  <c r="AA1802" s="1"/>
  <c r="FO1763"/>
  <c r="FJ1763"/>
  <c r="I1803" s="1"/>
  <c r="FI1763"/>
  <c r="Y1803" s="1"/>
  <c r="GD1763"/>
  <c r="GF1763"/>
  <c r="EV1763"/>
  <c r="AA1800" s="1"/>
  <c r="EU1763"/>
  <c r="EZ1763"/>
  <c r="I1801" s="1"/>
  <c r="EY1763"/>
  <c r="Y1801" s="1"/>
  <c r="FM1763"/>
  <c r="AC1803" s="1"/>
  <c r="FF1763"/>
  <c r="AA1804" s="1"/>
  <c r="FE1763"/>
  <c r="I1804" s="1"/>
  <c r="FX1763"/>
  <c r="GK1763"/>
  <c r="GL1763"/>
  <c r="AS48" i="36"/>
  <c r="H66" s="1"/>
  <c r="AU48"/>
  <c r="AW48"/>
  <c r="L66" s="1"/>
  <c r="L67" s="1"/>
  <c r="AY48"/>
  <c r="BA48"/>
  <c r="K65" s="1"/>
  <c r="DO48"/>
  <c r="DJ48"/>
  <c r="AC74" s="1"/>
  <c r="DE48"/>
  <c r="DN48"/>
  <c r="Y66"/>
  <c r="J66"/>
  <c r="AA66"/>
  <c r="AA67" s="1"/>
  <c r="AC66"/>
  <c r="AC67" s="1"/>
  <c r="I65"/>
  <c r="Z65"/>
  <c r="AB65"/>
  <c r="AB67" s="1"/>
  <c r="DS48"/>
  <c r="EB48"/>
  <c r="DW48"/>
  <c r="EA48"/>
  <c r="DV48"/>
  <c r="DQ48"/>
  <c r="Z76" s="1"/>
  <c r="DZ48"/>
  <c r="DU48"/>
  <c r="H77" s="1"/>
  <c r="DP48"/>
  <c r="ES48"/>
  <c r="CS1763" i="35"/>
  <c r="CT1763"/>
  <c r="CU1763"/>
  <c r="GZ1763"/>
  <c r="HB1763"/>
  <c r="HJ1763"/>
  <c r="DY1763"/>
  <c r="AC1792" s="1"/>
  <c r="DT1763"/>
  <c r="AC1791" s="1"/>
  <c r="EC1763"/>
  <c r="DX1763"/>
  <c r="AB1792" s="1"/>
  <c r="DS1763"/>
  <c r="AB1791" s="1"/>
  <c r="L48" i="36"/>
  <c r="L49" s="1"/>
  <c r="G102" s="1"/>
  <c r="GR48"/>
  <c r="CZ48"/>
  <c r="CY48"/>
  <c r="CX48"/>
  <c r="CW48"/>
  <c r="CV48"/>
  <c r="GT1763" i="35"/>
  <c r="CQ1763"/>
  <c r="CY1763"/>
  <c r="AB1812" s="1"/>
  <c r="CO1763"/>
  <c r="CE1763"/>
  <c r="AB1808" s="1"/>
  <c r="BZ1763"/>
  <c r="AB1807" s="1"/>
  <c r="CX1763"/>
  <c r="CN1763"/>
  <c r="J1810" s="1"/>
  <c r="CW1763"/>
  <c r="I1812" s="1"/>
  <c r="B14" i="8"/>
  <c r="Z1801" i="35"/>
  <c r="Z1803"/>
  <c r="Z1812"/>
  <c r="FL48" i="36"/>
  <c r="K88" s="1"/>
  <c r="FI48"/>
  <c r="Y88" s="1"/>
  <c r="FB48"/>
  <c r="K86" s="1"/>
  <c r="EZ48"/>
  <c r="I86" s="1"/>
  <c r="EW48"/>
  <c r="EU48"/>
  <c r="Z85" s="1"/>
  <c r="DT48"/>
  <c r="EC48"/>
  <c r="FT1763" i="35"/>
  <c r="FU1763"/>
  <c r="FV1763"/>
  <c r="K1791"/>
  <c r="EA1763"/>
  <c r="DV1763"/>
  <c r="DQ1763"/>
  <c r="Z1791" s="1"/>
  <c r="DZ1763"/>
  <c r="DU1763"/>
  <c r="H1792" s="1"/>
  <c r="ES1763"/>
  <c r="EM1763"/>
  <c r="AB1795" s="1"/>
  <c r="EH1763"/>
  <c r="EQ1763"/>
  <c r="EL1763"/>
  <c r="EG1763"/>
  <c r="J1794" s="1"/>
  <c r="EO1763"/>
  <c r="FF48" i="36"/>
  <c r="CK48"/>
  <c r="CI48"/>
  <c r="CH48"/>
  <c r="CG48"/>
  <c r="DH48"/>
  <c r="J74" s="1"/>
  <c r="DC48"/>
  <c r="DL48"/>
  <c r="DG48"/>
  <c r="DB48"/>
  <c r="I73" s="1"/>
  <c r="EM48"/>
  <c r="K80" s="1"/>
  <c r="EH48"/>
  <c r="EQ48"/>
  <c r="EL48"/>
  <c r="EG48"/>
  <c r="J79" s="1"/>
  <c r="EO48"/>
  <c r="FY1763" i="35"/>
  <c r="FZ1763"/>
  <c r="GH1763"/>
  <c r="GI1763"/>
  <c r="AW1763"/>
  <c r="AC1781" s="1"/>
  <c r="BB1763"/>
  <c r="AC1780" s="1"/>
  <c r="AU1763"/>
  <c r="AA1781" s="1"/>
  <c r="BK1763"/>
  <c r="AB1785" s="1"/>
  <c r="EW1763"/>
  <c r="FA1763"/>
  <c r="AA1801" s="1"/>
  <c r="FQ1763"/>
  <c r="FK1763"/>
  <c r="AA1803" s="1"/>
  <c r="FG1763"/>
  <c r="CC1763"/>
  <c r="Z1808" s="1"/>
  <c r="BV1763"/>
  <c r="L1777" s="1"/>
  <c r="AC1763"/>
  <c r="X1763"/>
  <c r="AC1772" s="1"/>
  <c r="AL1763"/>
  <c r="BT1763"/>
  <c r="J1777" s="1"/>
  <c r="BR1763"/>
  <c r="H1777" s="1"/>
  <c r="J77" i="36"/>
  <c r="AA77"/>
  <c r="I76"/>
  <c r="Y1792" i="35"/>
  <c r="AA1794"/>
  <c r="Z1800"/>
  <c r="I1800"/>
  <c r="Z1802"/>
  <c r="I1802"/>
  <c r="Z1804"/>
  <c r="AA79" i="36"/>
  <c r="AB1789" i="35"/>
  <c r="K1789"/>
  <c r="AA1788"/>
  <c r="J1788"/>
  <c r="AB1800"/>
  <c r="K1800"/>
  <c r="AB1802"/>
  <c r="K1802"/>
  <c r="AB1804"/>
  <c r="K1804"/>
  <c r="AA1777"/>
  <c r="Y1777"/>
  <c r="GY48" i="36"/>
  <c r="GX48"/>
  <c r="HH48"/>
  <c r="HG48"/>
  <c r="FG48"/>
  <c r="AB89" s="1"/>
  <c r="FE48"/>
  <c r="FK48"/>
  <c r="AA88" s="1"/>
  <c r="FQ48"/>
  <c r="FO48"/>
  <c r="Z87" s="1"/>
  <c r="FA48"/>
  <c r="EY48"/>
  <c r="Y86" s="1"/>
  <c r="EV48"/>
  <c r="J85" s="1"/>
  <c r="K1801" i="35"/>
  <c r="K1803"/>
  <c r="GG48" i="36"/>
  <c r="GE48"/>
  <c r="AH48"/>
  <c r="AF48"/>
  <c r="AE48"/>
  <c r="AD48"/>
  <c r="GV48"/>
  <c r="GT48"/>
  <c r="DI48"/>
  <c r="DD48"/>
  <c r="DM48"/>
  <c r="DK48"/>
  <c r="DF48"/>
  <c r="H74" s="1"/>
  <c r="DA48"/>
  <c r="DX48"/>
  <c r="EJ48"/>
  <c r="CR1763" i="35"/>
  <c r="FS1763"/>
  <c r="FW1763"/>
  <c r="GA1763"/>
  <c r="GE1763"/>
  <c r="GN1763"/>
  <c r="GP1763"/>
  <c r="GR1763"/>
  <c r="HD1763"/>
  <c r="HF1763"/>
  <c r="HH1763"/>
  <c r="AZ1763"/>
  <c r="AA1780" s="1"/>
  <c r="AS1763"/>
  <c r="AX1763"/>
  <c r="Y1780" s="1"/>
  <c r="K1785"/>
  <c r="BP1763"/>
  <c r="AB1784" s="1"/>
  <c r="AB1786" s="1"/>
  <c r="BI1763"/>
  <c r="BN1763"/>
  <c r="Z1784" s="1"/>
  <c r="EJ1763"/>
  <c r="Y1795" s="1"/>
  <c r="EE1763"/>
  <c r="Y1794" s="1"/>
  <c r="CZ1763"/>
  <c r="AC1812" s="1"/>
  <c r="CP1763"/>
  <c r="AC1810" s="1"/>
  <c r="BX1763"/>
  <c r="Z1807" s="1"/>
  <c r="CV1763"/>
  <c r="H1812" s="1"/>
  <c r="CL1763"/>
  <c r="H1810" s="1"/>
  <c r="BW1763"/>
  <c r="Y1807" s="1"/>
  <c r="AA1763"/>
  <c r="V1763"/>
  <c r="AA1772" s="1"/>
  <c r="AJ1763"/>
  <c r="GL48" i="36"/>
  <c r="GJ48"/>
  <c r="GH48"/>
  <c r="GB48"/>
  <c r="FZ48"/>
  <c r="FX48"/>
  <c r="FV48"/>
  <c r="FT48"/>
  <c r="ED48"/>
  <c r="DY48"/>
  <c r="L77" s="1"/>
  <c r="DR48"/>
  <c r="EN48"/>
  <c r="EI48"/>
  <c r="AC79" s="1"/>
  <c r="ER48"/>
  <c r="EP48"/>
  <c r="EK48"/>
  <c r="Z80" s="1"/>
  <c r="EF48"/>
  <c r="BV48"/>
  <c r="BU48"/>
  <c r="BT48"/>
  <c r="BS48"/>
  <c r="BR48"/>
  <c r="AD1763" i="35"/>
  <c r="AE1763"/>
  <c r="AF1763"/>
  <c r="AH1763"/>
  <c r="AN1763"/>
  <c r="AO1763"/>
  <c r="AQ1763"/>
  <c r="AR1763"/>
  <c r="BC1763"/>
  <c r="BE1763"/>
  <c r="BF1763"/>
  <c r="BG1763"/>
  <c r="CH1763"/>
  <c r="CI1763"/>
  <c r="CJ1763"/>
  <c r="GC1763"/>
  <c r="GG1763"/>
  <c r="GV1763"/>
  <c r="GX1763"/>
  <c r="DD1763"/>
  <c r="K1788" s="1"/>
  <c r="DM1763"/>
  <c r="DH1763"/>
  <c r="AA1789" s="1"/>
  <c r="DF1763"/>
  <c r="Y1789" s="1"/>
  <c r="DA1763"/>
  <c r="Y1788" s="1"/>
  <c r="ED1763"/>
  <c r="EB1763"/>
  <c r="DW1763"/>
  <c r="J1792" s="1"/>
  <c r="DR1763"/>
  <c r="J1791" s="1"/>
  <c r="DP1763"/>
  <c r="Y1791" s="1"/>
  <c r="EN1763"/>
  <c r="AC1795" s="1"/>
  <c r="EI1763"/>
  <c r="AC1794" s="1"/>
  <c r="ER1763"/>
  <c r="EP1763"/>
  <c r="EK1763"/>
  <c r="Z1795" s="1"/>
  <c r="EF1763"/>
  <c r="I1794" s="1"/>
  <c r="Y1763"/>
  <c r="Y1773" s="1"/>
  <c r="T1763"/>
  <c r="H1772" s="1"/>
  <c r="K73" i="36"/>
  <c r="AB73"/>
  <c r="Y74"/>
  <c r="K76"/>
  <c r="AB76"/>
  <c r="Y77"/>
  <c r="Y1781" i="35"/>
  <c r="H1781"/>
  <c r="Z1785"/>
  <c r="I1785"/>
  <c r="Z1789"/>
  <c r="I1789"/>
  <c r="I1791"/>
  <c r="H1794"/>
  <c r="Y1810"/>
  <c r="J1772"/>
  <c r="L74" i="36"/>
  <c r="L79"/>
  <c r="L1772" i="35"/>
  <c r="GP48" i="36"/>
  <c r="GO48"/>
  <c r="GN48"/>
  <c r="GM48"/>
  <c r="AA1782" i="35"/>
  <c r="AC1782"/>
  <c r="AB59" i="36"/>
  <c r="AB61" s="1"/>
  <c r="Z59"/>
  <c r="Z61" s="1"/>
  <c r="AA59"/>
  <c r="AA61" s="1"/>
  <c r="Z1792" i="35"/>
  <c r="I1792"/>
  <c r="H1791"/>
  <c r="AB1794"/>
  <c r="K1794"/>
  <c r="H1795"/>
  <c r="I1807"/>
  <c r="L1773"/>
  <c r="AC1773"/>
  <c r="J1773"/>
  <c r="AA1773"/>
  <c r="HA48" i="36"/>
  <c r="GZ48"/>
  <c r="H1780" i="35"/>
  <c r="H1782" s="1"/>
  <c r="I1784"/>
  <c r="I1786" s="1"/>
  <c r="Z1788"/>
  <c r="I1788"/>
  <c r="I1790" s="1"/>
  <c r="AA1795"/>
  <c r="J1795"/>
  <c r="Z1794"/>
  <c r="K1807"/>
  <c r="H1807"/>
  <c r="K1775"/>
  <c r="AB1775"/>
  <c r="I1775"/>
  <c r="Z1775"/>
  <c r="Y1772"/>
  <c r="GQ48" i="36"/>
  <c r="AB1793" i="35"/>
  <c r="GW48" i="36"/>
  <c r="HF48"/>
  <c r="HE48"/>
  <c r="HD48"/>
  <c r="HC48"/>
  <c r="HB48"/>
  <c r="HK48"/>
  <c r="HJ48"/>
  <c r="HI48"/>
  <c r="BD48"/>
  <c r="BF48"/>
  <c r="L1792" i="35"/>
  <c r="AC59" i="36"/>
  <c r="AC61" s="1"/>
  <c r="GS48"/>
  <c r="GW1763" i="35"/>
  <c r="HA1763"/>
  <c r="HE1763"/>
  <c r="HI1763"/>
  <c r="L1780"/>
  <c r="J1780"/>
  <c r="M57" i="36"/>
  <c r="H51" i="7" s="1"/>
  <c r="CM1763" i="35"/>
  <c r="I1810" s="1"/>
  <c r="I67" i="36"/>
  <c r="H80" i="35"/>
  <c r="Y59" i="36"/>
  <c r="Y61" s="1"/>
  <c r="AD57"/>
  <c r="J67"/>
  <c r="AD60"/>
  <c r="AD58"/>
  <c r="I59"/>
  <c r="I61" s="1"/>
  <c r="J59"/>
  <c r="J61" s="1"/>
  <c r="K59"/>
  <c r="K61" s="1"/>
  <c r="L59"/>
  <c r="L61" s="1"/>
  <c r="M60"/>
  <c r="GU48"/>
  <c r="GM1763" i="35"/>
  <c r="GQ1763"/>
  <c r="GU1763"/>
  <c r="GY1763"/>
  <c r="HC1763"/>
  <c r="HG1763"/>
  <c r="HK1763"/>
  <c r="AV1763"/>
  <c r="AB1781" s="1"/>
  <c r="BA1763"/>
  <c r="AT1763"/>
  <c r="Z1781" s="1"/>
  <c r="AD1781" s="1"/>
  <c r="AY1763"/>
  <c r="K1784"/>
  <c r="K1786" s="1"/>
  <c r="BL1763"/>
  <c r="BQ1763"/>
  <c r="AC1784" s="1"/>
  <c r="BJ1763"/>
  <c r="BO1763"/>
  <c r="AA1784" s="1"/>
  <c r="BH1763"/>
  <c r="BM1763"/>
  <c r="Y1784" s="1"/>
  <c r="DO1763"/>
  <c r="DJ1763"/>
  <c r="L1789" s="1"/>
  <c r="CJ48" i="36"/>
  <c r="AG48"/>
  <c r="EE48"/>
  <c r="H79" s="1"/>
  <c r="BM48"/>
  <c r="Y69" s="1"/>
  <c r="BH48"/>
  <c r="Y70" s="1"/>
  <c r="BL48"/>
  <c r="L70" s="1"/>
  <c r="BK48"/>
  <c r="AB70" s="1"/>
  <c r="BJ48"/>
  <c r="AA70" s="1"/>
  <c r="BI48"/>
  <c r="Z70" s="1"/>
  <c r="BQ48"/>
  <c r="L69" s="1"/>
  <c r="L71" s="1"/>
  <c r="BP48"/>
  <c r="AB69" s="1"/>
  <c r="AB71" s="1"/>
  <c r="BO48"/>
  <c r="AA69" s="1"/>
  <c r="AA71" s="1"/>
  <c r="BN48"/>
  <c r="Z69" s="1"/>
  <c r="Z71" s="1"/>
  <c r="A1763" i="35"/>
  <c r="A1722" s="1"/>
  <c r="AG1763"/>
  <c r="AP1763"/>
  <c r="BD1763"/>
  <c r="CG1763"/>
  <c r="CK1763"/>
  <c r="GO1763"/>
  <c r="GS1763"/>
  <c r="L1810"/>
  <c r="K1808"/>
  <c r="CF1763"/>
  <c r="AC1808" s="1"/>
  <c r="CA1763"/>
  <c r="L1807" s="1"/>
  <c r="CD1763"/>
  <c r="AA1808" s="1"/>
  <c r="BY1763"/>
  <c r="AA1807" s="1"/>
  <c r="CB1763"/>
  <c r="Y1808" s="1"/>
  <c r="Y1809" s="1"/>
  <c r="H25" i="8"/>
  <c r="H1913" i="35" s="1"/>
  <c r="B25" i="8"/>
  <c r="B38" s="1"/>
  <c r="D1948" i="35"/>
  <c r="J1983"/>
  <c r="J25" i="8"/>
  <c r="J1913" i="35" s="1"/>
  <c r="D25" i="8"/>
  <c r="D1913" i="35" s="1"/>
  <c r="D1924" s="1"/>
  <c r="H1948"/>
  <c r="D2018"/>
  <c r="F25" i="8"/>
  <c r="F1913" i="35" s="1"/>
  <c r="F1924" s="1"/>
  <c r="B1948"/>
  <c r="F1948"/>
  <c r="J1948"/>
  <c r="B2018"/>
  <c r="B2030" s="1"/>
  <c r="F2018"/>
  <c r="F2030" s="1"/>
  <c r="B1913"/>
  <c r="D2030"/>
  <c r="F139" i="8"/>
  <c r="F142"/>
  <c r="F143"/>
  <c r="J93"/>
  <c r="B128"/>
  <c r="B140" s="1"/>
  <c r="D128"/>
  <c r="B35"/>
  <c r="B37"/>
  <c r="D70"/>
  <c r="F70"/>
  <c r="H70"/>
  <c r="J70"/>
  <c r="B70"/>
  <c r="B41"/>
  <c r="B1929" i="35" s="1"/>
  <c r="I3" i="29"/>
  <c r="P6" i="36"/>
  <c r="Q11" s="1"/>
  <c r="Q1726" i="35" s="1"/>
  <c r="AD59" i="36"/>
  <c r="H59"/>
  <c r="M58"/>
  <c r="H52" i="7"/>
  <c r="H81" i="35"/>
  <c r="L88" i="36"/>
  <c r="H88"/>
  <c r="I87"/>
  <c r="J86"/>
  <c r="AA86"/>
  <c r="K85"/>
  <c r="AB85"/>
  <c r="B119" i="8"/>
  <c r="C119"/>
  <c r="E119"/>
  <c r="B84"/>
  <c r="K84"/>
  <c r="I84"/>
  <c r="G84"/>
  <c r="E84"/>
  <c r="C84"/>
  <c r="K49"/>
  <c r="I49"/>
  <c r="G49"/>
  <c r="E49"/>
  <c r="C49"/>
  <c r="D14"/>
  <c r="F14"/>
  <c r="H14"/>
  <c r="J14"/>
  <c r="D119"/>
  <c r="F119"/>
  <c r="J84"/>
  <c r="H84"/>
  <c r="F84"/>
  <c r="D84"/>
  <c r="B49"/>
  <c r="J49"/>
  <c r="H49"/>
  <c r="F49"/>
  <c r="D49"/>
  <c r="C14"/>
  <c r="E14"/>
  <c r="G14"/>
  <c r="I14"/>
  <c r="K14"/>
  <c r="K89" i="36"/>
  <c r="J89"/>
  <c r="AA89"/>
  <c r="I89"/>
  <c r="M89" s="1"/>
  <c r="Z89"/>
  <c r="J88"/>
  <c r="K87"/>
  <c r="AB87"/>
  <c r="L86"/>
  <c r="H86"/>
  <c r="M86" s="1"/>
  <c r="I85"/>
  <c r="M85" s="1"/>
  <c r="Q57"/>
  <c r="AC89"/>
  <c r="Y89"/>
  <c r="AB88"/>
  <c r="Z88"/>
  <c r="AA87"/>
  <c r="Y87"/>
  <c r="AB86"/>
  <c r="AC85"/>
  <c r="AA85"/>
  <c r="Y85"/>
  <c r="J35" i="8"/>
  <c r="H35"/>
  <c r="F35"/>
  <c r="D35"/>
  <c r="K27"/>
  <c r="I27"/>
  <c r="G27"/>
  <c r="E27"/>
  <c r="C27"/>
  <c r="J26"/>
  <c r="H26"/>
  <c r="F26"/>
  <c r="D26"/>
  <c r="K25"/>
  <c r="I25"/>
  <c r="G25"/>
  <c r="E25"/>
  <c r="C25"/>
  <c r="B61"/>
  <c r="C61"/>
  <c r="D61"/>
  <c r="E61"/>
  <c r="F61"/>
  <c r="G61"/>
  <c r="H61"/>
  <c r="I61"/>
  <c r="J61"/>
  <c r="K61"/>
  <c r="B62"/>
  <c r="C62"/>
  <c r="D62"/>
  <c r="E62"/>
  <c r="F62"/>
  <c r="G62"/>
  <c r="H62"/>
  <c r="I62"/>
  <c r="J62"/>
  <c r="K62"/>
  <c r="B96"/>
  <c r="C96"/>
  <c r="D96"/>
  <c r="E96"/>
  <c r="F96"/>
  <c r="G96"/>
  <c r="H96"/>
  <c r="I96"/>
  <c r="J96"/>
  <c r="K96"/>
  <c r="B97"/>
  <c r="C97"/>
  <c r="D97"/>
  <c r="E97"/>
  <c r="F97"/>
  <c r="G97"/>
  <c r="H97"/>
  <c r="I97"/>
  <c r="J97"/>
  <c r="K97"/>
  <c r="H69" i="36"/>
  <c r="H70"/>
  <c r="AC70"/>
  <c r="K70"/>
  <c r="J70"/>
  <c r="I70"/>
  <c r="AC69"/>
  <c r="AC71" s="1"/>
  <c r="K69"/>
  <c r="K71" s="1"/>
  <c r="J69"/>
  <c r="J71" s="1"/>
  <c r="I69"/>
  <c r="I71" s="1"/>
  <c r="K1781" i="35"/>
  <c r="K1780"/>
  <c r="AB1780"/>
  <c r="I1780"/>
  <c r="Z1780"/>
  <c r="AC1785"/>
  <c r="L1785"/>
  <c r="L1784"/>
  <c r="AA1785"/>
  <c r="J1785"/>
  <c r="Y1785"/>
  <c r="H1785"/>
  <c r="H1784"/>
  <c r="AC1788"/>
  <c r="L1788"/>
  <c r="P175" i="11"/>
  <c r="P294" s="1"/>
  <c r="P6" s="1"/>
  <c r="CP48" i="36"/>
  <c r="CN48"/>
  <c r="J95" s="1"/>
  <c r="CL48"/>
  <c r="CA48"/>
  <c r="L92" s="1"/>
  <c r="BZ48"/>
  <c r="BY48"/>
  <c r="J92" s="1"/>
  <c r="BX48"/>
  <c r="AD1800" i="35"/>
  <c r="AD1804"/>
  <c r="L1812"/>
  <c r="K1810"/>
  <c r="AB1810"/>
  <c r="AA1812"/>
  <c r="J1812"/>
  <c r="Y1812"/>
  <c r="CO48" i="36"/>
  <c r="K95" s="1"/>
  <c r="CM48"/>
  <c r="Z95" s="1"/>
  <c r="CF48"/>
  <c r="L93" s="1"/>
  <c r="CE48"/>
  <c r="AB93" s="1"/>
  <c r="CD48"/>
  <c r="J93" s="1"/>
  <c r="CC48"/>
  <c r="CB48"/>
  <c r="H93" s="1"/>
  <c r="O175" i="11"/>
  <c r="O294" s="1"/>
  <c r="O6" s="1"/>
  <c r="L1781" i="35"/>
  <c r="L1782" s="1"/>
  <c r="AC1793"/>
  <c r="AA1796"/>
  <c r="AD1801"/>
  <c r="L1808"/>
  <c r="J1808"/>
  <c r="H1808"/>
  <c r="L1763"/>
  <c r="L1764" s="1"/>
  <c r="G1817" s="1"/>
  <c r="AM1763"/>
  <c r="BU1763"/>
  <c r="W1763"/>
  <c r="Z1763"/>
  <c r="AI1763"/>
  <c r="L1791"/>
  <c r="K1792"/>
  <c r="K1793" s="1"/>
  <c r="K1795"/>
  <c r="K1796" s="1"/>
  <c r="L1800"/>
  <c r="H1800"/>
  <c r="L1801"/>
  <c r="J1801"/>
  <c r="H1801"/>
  <c r="L1802"/>
  <c r="H1802"/>
  <c r="J1803"/>
  <c r="H1803"/>
  <c r="L1804"/>
  <c r="J1804"/>
  <c r="H1804"/>
  <c r="K1812"/>
  <c r="AB1763"/>
  <c r="AK1763"/>
  <c r="BS1763"/>
  <c r="U1763"/>
  <c r="I1901"/>
  <c r="H1909"/>
  <c r="H1902"/>
  <c r="H1907"/>
  <c r="H1903"/>
  <c r="B2028"/>
  <c r="D2028"/>
  <c r="F2028"/>
  <c r="E1529"/>
  <c r="A1592"/>
  <c r="G1513"/>
  <c r="M1619"/>
  <c r="M1636" s="1"/>
  <c r="M1638" s="1"/>
  <c r="M1640" s="1"/>
  <c r="G1579"/>
  <c r="J1633"/>
  <c r="J1637" s="1"/>
  <c r="C41" i="8"/>
  <c r="C1929" i="35" s="1"/>
  <c r="D41" i="8"/>
  <c r="L95" i="36"/>
  <c r="AC95"/>
  <c r="AB95"/>
  <c r="I95"/>
  <c r="H95"/>
  <c r="Y95"/>
  <c r="AC92"/>
  <c r="K93"/>
  <c r="K92"/>
  <c r="AB92"/>
  <c r="AA93"/>
  <c r="I93"/>
  <c r="Z93"/>
  <c r="I92"/>
  <c r="Z92"/>
  <c r="P1638" i="35" l="1"/>
  <c r="P1640" s="1"/>
  <c r="AA1774"/>
  <c r="Z1786"/>
  <c r="Y1782"/>
  <c r="AD1802"/>
  <c r="AC1774"/>
  <c r="AD1803"/>
  <c r="Q10" i="36"/>
  <c r="Q1725" i="35" s="1"/>
  <c r="K1989"/>
  <c r="G1989"/>
  <c r="C1989"/>
  <c r="K1954"/>
  <c r="I1954"/>
  <c r="G1954"/>
  <c r="J1989"/>
  <c r="H1989"/>
  <c r="F1989"/>
  <c r="D1989"/>
  <c r="B1989"/>
  <c r="J1954"/>
  <c r="H1954"/>
  <c r="F1954"/>
  <c r="D2024"/>
  <c r="I1989"/>
  <c r="E1989"/>
  <c r="F2024"/>
  <c r="B2024"/>
  <c r="C1918"/>
  <c r="J1789"/>
  <c r="J1790" s="1"/>
  <c r="Y79" i="36"/>
  <c r="I80"/>
  <c r="AC77"/>
  <c r="AA1791" i="35"/>
  <c r="AD1791" s="1"/>
  <c r="Z1790"/>
  <c r="L1795"/>
  <c r="I1793"/>
  <c r="AB1788"/>
  <c r="AB1790" s="1"/>
  <c r="AA1790"/>
  <c r="AC1789"/>
  <c r="AD1789" s="1"/>
  <c r="H1789"/>
  <c r="M1789" s="1"/>
  <c r="AA1792"/>
  <c r="Z73" i="36"/>
  <c r="L1803" i="35"/>
  <c r="J1802"/>
  <c r="J1800"/>
  <c r="Z86" i="36"/>
  <c r="AC87"/>
  <c r="Y1793" i="35"/>
  <c r="Y1796"/>
  <c r="AD1794"/>
  <c r="M65" i="36"/>
  <c r="K67"/>
  <c r="M66"/>
  <c r="H67"/>
  <c r="H1793" i="35"/>
  <c r="L1794"/>
  <c r="M1794" s="1"/>
  <c r="Q1794" s="1"/>
  <c r="Z1810"/>
  <c r="J1784"/>
  <c r="I1781"/>
  <c r="K1809"/>
  <c r="J1774"/>
  <c r="L1774"/>
  <c r="H1796"/>
  <c r="AC1796"/>
  <c r="J1793"/>
  <c r="K1790"/>
  <c r="J1781"/>
  <c r="J1782" s="1"/>
  <c r="AC1777"/>
  <c r="AB80" i="36"/>
  <c r="AA1810" i="35"/>
  <c r="Y1790"/>
  <c r="M1791"/>
  <c r="I1795"/>
  <c r="I1796" s="1"/>
  <c r="I1808"/>
  <c r="I1809" s="1"/>
  <c r="AA74" i="36"/>
  <c r="AB1796" i="35"/>
  <c r="Z1793"/>
  <c r="H1788"/>
  <c r="J1796"/>
  <c r="AD1795"/>
  <c r="Z1809"/>
  <c r="L73" i="36"/>
  <c r="L75" s="1"/>
  <c r="AC73"/>
  <c r="AC75" s="1"/>
  <c r="Y93"/>
  <c r="Z1796" i="35"/>
  <c r="H1773"/>
  <c r="AB1809"/>
  <c r="AD65" i="36"/>
  <c r="Z67"/>
  <c r="Y67"/>
  <c r="AD66"/>
  <c r="Q66" s="1"/>
  <c r="AD1788" i="35"/>
  <c r="H1774"/>
  <c r="H76" i="36"/>
  <c r="H78" s="1"/>
  <c r="Y76"/>
  <c r="Y78" s="1"/>
  <c r="I77"/>
  <c r="I78" s="1"/>
  <c r="Z77"/>
  <c r="Z78" s="1"/>
  <c r="B15" i="8"/>
  <c r="B16" s="1"/>
  <c r="H97" i="36"/>
  <c r="Y97"/>
  <c r="J97"/>
  <c r="AA97"/>
  <c r="L97"/>
  <c r="AC97"/>
  <c r="AA92"/>
  <c r="AA94" s="1"/>
  <c r="AC93"/>
  <c r="AC94" s="1"/>
  <c r="AC96" s="1"/>
  <c r="AC98" s="1"/>
  <c r="AA95"/>
  <c r="AD95" s="1"/>
  <c r="J1807" i="35"/>
  <c r="AC1807"/>
  <c r="AD1807" s="1"/>
  <c r="I1811"/>
  <c r="I1813" s="1"/>
  <c r="I97" i="36"/>
  <c r="Z97"/>
  <c r="K97"/>
  <c r="AB97"/>
  <c r="H1790" i="35"/>
  <c r="J80" i="36"/>
  <c r="J81" s="1"/>
  <c r="AA80"/>
  <c r="AA81" s="1"/>
  <c r="K79"/>
  <c r="K81" s="1"/>
  <c r="AB79"/>
  <c r="AB81" s="1"/>
  <c r="AD87"/>
  <c r="Y1774" i="35"/>
  <c r="I74" i="36"/>
  <c r="I75" s="1"/>
  <c r="Z74"/>
  <c r="Z75" s="1"/>
  <c r="J73"/>
  <c r="J75" s="1"/>
  <c r="AA73"/>
  <c r="AA75" s="1"/>
  <c r="L76"/>
  <c r="L78" s="1"/>
  <c r="AC76"/>
  <c r="AC78" s="1"/>
  <c r="AD1810" i="35"/>
  <c r="AD1785"/>
  <c r="M87" i="36"/>
  <c r="H62"/>
  <c r="Y62"/>
  <c r="J62"/>
  <c r="J63" s="1"/>
  <c r="AA62"/>
  <c r="AA63" s="1"/>
  <c r="L62"/>
  <c r="L63" s="1"/>
  <c r="AC62"/>
  <c r="AC63" s="1"/>
  <c r="L80"/>
  <c r="L81" s="1"/>
  <c r="AC80"/>
  <c r="AC81" s="1"/>
  <c r="K77"/>
  <c r="K78" s="1"/>
  <c r="AB77"/>
  <c r="AB78" s="1"/>
  <c r="K74"/>
  <c r="K75" s="1"/>
  <c r="AB74"/>
  <c r="AB75" s="1"/>
  <c r="K94"/>
  <c r="M1803" i="35"/>
  <c r="Q1803" s="1"/>
  <c r="M1801"/>
  <c r="Q1801" s="1"/>
  <c r="AD1812"/>
  <c r="I62" i="36"/>
  <c r="I63" s="1"/>
  <c r="Z62"/>
  <c r="Z63" s="1"/>
  <c r="K62"/>
  <c r="K63" s="1"/>
  <c r="AB62"/>
  <c r="AB63" s="1"/>
  <c r="I79"/>
  <c r="I81" s="1"/>
  <c r="Z79"/>
  <c r="Z81" s="1"/>
  <c r="J76"/>
  <c r="AA76"/>
  <c r="AA78" s="1"/>
  <c r="H80"/>
  <c r="M80" s="1"/>
  <c r="Y80"/>
  <c r="AD80" s="1"/>
  <c r="H73"/>
  <c r="Y73"/>
  <c r="AD73" s="1"/>
  <c r="Z1811" i="35"/>
  <c r="Z1813" s="1"/>
  <c r="M1785"/>
  <c r="Q1785" s="1"/>
  <c r="AD1780"/>
  <c r="AA1786"/>
  <c r="AC1786"/>
  <c r="Q60" i="36"/>
  <c r="M1780" i="35"/>
  <c r="J94" i="36"/>
  <c r="J96" s="1"/>
  <c r="J98" s="1"/>
  <c r="L94"/>
  <c r="L96" s="1"/>
  <c r="L98" s="1"/>
  <c r="K96"/>
  <c r="K98" s="1"/>
  <c r="M95"/>
  <c r="AB1811" i="35"/>
  <c r="AB1813" s="1"/>
  <c r="K1811"/>
  <c r="L1790"/>
  <c r="M1790" s="1"/>
  <c r="I1782"/>
  <c r="K1782"/>
  <c r="Q65" i="36"/>
  <c r="M67"/>
  <c r="AB94"/>
  <c r="AB96" s="1"/>
  <c r="AB98" s="1"/>
  <c r="L1793" i="35"/>
  <c r="M1793" s="1"/>
  <c r="AD1808"/>
  <c r="AC1809"/>
  <c r="AC1811" s="1"/>
  <c r="AC1813" s="1"/>
  <c r="M1795"/>
  <c r="Q1795" s="1"/>
  <c r="B1983"/>
  <c r="B42" i="8"/>
  <c r="B1930" i="35" s="1"/>
  <c r="D2031"/>
  <c r="F1983"/>
  <c r="F2031"/>
  <c r="H1983"/>
  <c r="B2031"/>
  <c r="D1983"/>
  <c r="B1924"/>
  <c r="B1926"/>
  <c r="B1925"/>
  <c r="D139" i="8"/>
  <c r="D143"/>
  <c r="D142"/>
  <c r="J105"/>
  <c r="J104"/>
  <c r="B139"/>
  <c r="B142"/>
  <c r="B143"/>
  <c r="D140"/>
  <c r="H1910" i="35"/>
  <c r="H1921" s="1"/>
  <c r="H1904"/>
  <c r="J1901"/>
  <c r="I1902"/>
  <c r="I1907"/>
  <c r="I1909"/>
  <c r="I1903"/>
  <c r="I1777"/>
  <c r="Z1777"/>
  <c r="K1773"/>
  <c r="AB1773"/>
  <c r="M1804"/>
  <c r="Q1804" s="1"/>
  <c r="M1802"/>
  <c r="Q1802" s="1"/>
  <c r="M1800"/>
  <c r="Q1800" s="1"/>
  <c r="L1796"/>
  <c r="M1792"/>
  <c r="H1775"/>
  <c r="Y1775"/>
  <c r="K1772"/>
  <c r="AB1772"/>
  <c r="H1809"/>
  <c r="M1808"/>
  <c r="Q1808" s="1"/>
  <c r="AA1809"/>
  <c r="AA1811" s="1"/>
  <c r="AA1813" s="1"/>
  <c r="L1809"/>
  <c r="L1811" s="1"/>
  <c r="L1813" s="1"/>
  <c r="AD1796"/>
  <c r="M1812"/>
  <c r="Q1812" s="1"/>
  <c r="M1810"/>
  <c r="Q1810" s="1"/>
  <c r="M1788"/>
  <c r="Q1788" s="1"/>
  <c r="Q1780"/>
  <c r="AC1790"/>
  <c r="H1786"/>
  <c r="M1784"/>
  <c r="J1786"/>
  <c r="L1786"/>
  <c r="Z1782"/>
  <c r="M1781"/>
  <c r="Q1781" s="1"/>
  <c r="AB1782"/>
  <c r="M70" i="36"/>
  <c r="M69"/>
  <c r="H71"/>
  <c r="M71" s="1"/>
  <c r="E2018" i="35"/>
  <c r="E142" i="8"/>
  <c r="E143"/>
  <c r="K1985" i="35"/>
  <c r="K108" i="8"/>
  <c r="I1985" i="35"/>
  <c r="I108" i="8"/>
  <c r="G1985" i="35"/>
  <c r="G108" i="8"/>
  <c r="E1985" i="35"/>
  <c r="E108" i="8"/>
  <c r="C1985" i="35"/>
  <c r="C108" i="8"/>
  <c r="K1984" i="35"/>
  <c r="K107" i="8"/>
  <c r="I1984" i="35"/>
  <c r="I107" i="8"/>
  <c r="G1984" i="35"/>
  <c r="G107" i="8"/>
  <c r="E1984" i="35"/>
  <c r="E107" i="8"/>
  <c r="C1984" i="35"/>
  <c r="C107" i="8"/>
  <c r="K1983" i="35"/>
  <c r="G1983"/>
  <c r="C1983"/>
  <c r="J1950"/>
  <c r="J73" i="8"/>
  <c r="H1950" i="35"/>
  <c r="H73" i="8"/>
  <c r="F1950" i="35"/>
  <c r="F73" i="8"/>
  <c r="D1950" i="35"/>
  <c r="D73" i="8"/>
  <c r="B1950" i="35"/>
  <c r="B73" i="8"/>
  <c r="J1949" i="35"/>
  <c r="J1960" s="1"/>
  <c r="J72" i="8"/>
  <c r="H1949" i="35"/>
  <c r="H1960" s="1"/>
  <c r="H72" i="8"/>
  <c r="F1949" i="35"/>
  <c r="F1960" s="1"/>
  <c r="F72" i="8"/>
  <c r="D1949" i="35"/>
  <c r="D1960" s="1"/>
  <c r="D72" i="8"/>
  <c r="B1949" i="35"/>
  <c r="B1960" s="1"/>
  <c r="B72" i="8"/>
  <c r="I1948" i="35"/>
  <c r="E1948"/>
  <c r="C1913"/>
  <c r="C37" i="8"/>
  <c r="G1913" i="35"/>
  <c r="G37" i="8"/>
  <c r="K1913" i="35"/>
  <c r="K37" i="8"/>
  <c r="F1914" i="35"/>
  <c r="F37" i="8"/>
  <c r="F38"/>
  <c r="J1914" i="35"/>
  <c r="J37" i="8"/>
  <c r="J38"/>
  <c r="E1915" i="35"/>
  <c r="E38" i="8"/>
  <c r="I1915" i="35"/>
  <c r="I38" i="8"/>
  <c r="AD85" i="36"/>
  <c r="Q85" s="1"/>
  <c r="AD89"/>
  <c r="Q89" s="1"/>
  <c r="Y81"/>
  <c r="AD79"/>
  <c r="H81"/>
  <c r="M81" s="1"/>
  <c r="AD86"/>
  <c r="Q86" s="1"/>
  <c r="K5" i="8"/>
  <c r="AD88" i="36"/>
  <c r="H50" i="7"/>
  <c r="H49" s="1"/>
  <c r="H53" s="1"/>
  <c r="H79" i="35"/>
  <c r="H78" s="1"/>
  <c r="H82" s="1"/>
  <c r="Q58" i="36"/>
  <c r="E41" i="8"/>
  <c r="D1929" i="35"/>
  <c r="I1772"/>
  <c r="Z1772"/>
  <c r="J1775"/>
  <c r="J1776" s="1"/>
  <c r="J1778" s="1"/>
  <c r="AA1775"/>
  <c r="AA1776" s="1"/>
  <c r="AA1778" s="1"/>
  <c r="I1773"/>
  <c r="M1773" s="1"/>
  <c r="Z1773"/>
  <c r="AD1773" s="1"/>
  <c r="K1777"/>
  <c r="AB1777"/>
  <c r="L1775"/>
  <c r="L1776" s="1"/>
  <c r="L1778" s="1"/>
  <c r="AC1775"/>
  <c r="AC1776" s="1"/>
  <c r="AC1778" s="1"/>
  <c r="AD1809"/>
  <c r="Y1811"/>
  <c r="J1809"/>
  <c r="J1811" s="1"/>
  <c r="J1813" s="1"/>
  <c r="M1807"/>
  <c r="AD1790"/>
  <c r="Q1790" s="1"/>
  <c r="K1813"/>
  <c r="AD1782"/>
  <c r="Y1786"/>
  <c r="AD1786" s="1"/>
  <c r="AD1784"/>
  <c r="AD70" i="36"/>
  <c r="Y71"/>
  <c r="AD71" s="1"/>
  <c r="AD69"/>
  <c r="C2018" i="35"/>
  <c r="C142" i="8"/>
  <c r="C143"/>
  <c r="J1985" i="35"/>
  <c r="J108" i="8"/>
  <c r="H1985" i="35"/>
  <c r="H108" i="8"/>
  <c r="F1985" i="35"/>
  <c r="F108" i="8"/>
  <c r="D1985" i="35"/>
  <c r="D108" i="8"/>
  <c r="B1985" i="35"/>
  <c r="B108" i="8"/>
  <c r="J1984" i="35"/>
  <c r="J1995" s="1"/>
  <c r="J107" i="8"/>
  <c r="H1984" i="35"/>
  <c r="H1995" s="1"/>
  <c r="H107" i="8"/>
  <c r="F1984" i="35"/>
  <c r="F1995" s="1"/>
  <c r="F107" i="8"/>
  <c r="D1984" i="35"/>
  <c r="D1995" s="1"/>
  <c r="D107" i="8"/>
  <c r="B1984" i="35"/>
  <c r="B1995" s="1"/>
  <c r="B107" i="8"/>
  <c r="I1983" i="35"/>
  <c r="E1983"/>
  <c r="K1950"/>
  <c r="K73" i="8"/>
  <c r="I1950" i="35"/>
  <c r="I73" i="8"/>
  <c r="G1950" i="35"/>
  <c r="G73" i="8"/>
  <c r="E1950" i="35"/>
  <c r="E73" i="8"/>
  <c r="C1950" i="35"/>
  <c r="C73" i="8"/>
  <c r="K1949" i="35"/>
  <c r="K72" i="8"/>
  <c r="I1949" i="35"/>
  <c r="I1960" s="1"/>
  <c r="I72" i="8"/>
  <c r="G1949" i="35"/>
  <c r="G72" i="8"/>
  <c r="E1949" i="35"/>
  <c r="E1960" s="1"/>
  <c r="E72" i="8"/>
  <c r="C1949" i="35"/>
  <c r="C72" i="8"/>
  <c r="K1948" i="35"/>
  <c r="G1948"/>
  <c r="C1948"/>
  <c r="E1913"/>
  <c r="E37" i="8"/>
  <c r="I1913" i="35"/>
  <c r="I37" i="8"/>
  <c r="D1914" i="35"/>
  <c r="D37" i="8"/>
  <c r="D38"/>
  <c r="H1914" i="35"/>
  <c r="H37" i="8"/>
  <c r="H38"/>
  <c r="C1915" i="35"/>
  <c r="C1926" s="1"/>
  <c r="C38" i="8"/>
  <c r="G1915" i="35"/>
  <c r="G1926" s="1"/>
  <c r="G38" i="8"/>
  <c r="K1915" i="35"/>
  <c r="K1926" s="1"/>
  <c r="K38" i="8"/>
  <c r="C120"/>
  <c r="C121" s="1"/>
  <c r="D120"/>
  <c r="E120"/>
  <c r="E121" s="1"/>
  <c r="F120"/>
  <c r="F121" s="1"/>
  <c r="B120"/>
  <c r="J85"/>
  <c r="J86" s="1"/>
  <c r="H85"/>
  <c r="H86" s="1"/>
  <c r="F85"/>
  <c r="F86" s="1"/>
  <c r="D85"/>
  <c r="D86" s="1"/>
  <c r="B50"/>
  <c r="B51" s="1"/>
  <c r="J50"/>
  <c r="J51" s="1"/>
  <c r="H50"/>
  <c r="H51" s="1"/>
  <c r="F50"/>
  <c r="F51" s="1"/>
  <c r="D50"/>
  <c r="D51" s="1"/>
  <c r="C15"/>
  <c r="C16" s="1"/>
  <c r="E15"/>
  <c r="G15"/>
  <c r="G16" s="1"/>
  <c r="I15"/>
  <c r="K15"/>
  <c r="K16" s="1"/>
  <c r="B85"/>
  <c r="K85"/>
  <c r="K86" s="1"/>
  <c r="I85"/>
  <c r="I86" s="1"/>
  <c r="G85"/>
  <c r="G86" s="1"/>
  <c r="E85"/>
  <c r="E86" s="1"/>
  <c r="C85"/>
  <c r="C86" s="1"/>
  <c r="K50"/>
  <c r="I50"/>
  <c r="I51" s="1"/>
  <c r="G50"/>
  <c r="E50"/>
  <c r="E51" s="1"/>
  <c r="C50"/>
  <c r="D15"/>
  <c r="D16" s="1"/>
  <c r="F15"/>
  <c r="H15"/>
  <c r="H16" s="1"/>
  <c r="J15"/>
  <c r="M88" i="36"/>
  <c r="Q88" s="1"/>
  <c r="M59"/>
  <c r="Q59" s="1"/>
  <c r="H61"/>
  <c r="AD61"/>
  <c r="Y63"/>
  <c r="AD93"/>
  <c r="Y94"/>
  <c r="M93"/>
  <c r="Q93" s="1"/>
  <c r="H94"/>
  <c r="Z94"/>
  <c r="Z96" s="1"/>
  <c r="Z98" s="1"/>
  <c r="AD92"/>
  <c r="I94"/>
  <c r="I96" s="1"/>
  <c r="I98" s="1"/>
  <c r="M92"/>
  <c r="Q92" s="1"/>
  <c r="P79" i="35"/>
  <c r="P50" i="7"/>
  <c r="E90" i="8" l="1"/>
  <c r="F125"/>
  <c r="D90"/>
  <c r="F55"/>
  <c r="G20"/>
  <c r="B20"/>
  <c r="E125"/>
  <c r="G90"/>
  <c r="I55"/>
  <c r="D20"/>
  <c r="F90"/>
  <c r="H55"/>
  <c r="C125"/>
  <c r="I90"/>
  <c r="H90"/>
  <c r="J55"/>
  <c r="C20"/>
  <c r="K20"/>
  <c r="K90"/>
  <c r="C90"/>
  <c r="E55"/>
  <c r="H20"/>
  <c r="J90"/>
  <c r="B55"/>
  <c r="D55"/>
  <c r="H1924" i="35"/>
  <c r="D1918"/>
  <c r="AD74" i="36"/>
  <c r="Q1791" i="35"/>
  <c r="M77" i="36"/>
  <c r="Q1789" i="35"/>
  <c r="AD77" i="36"/>
  <c r="AA1793" i="35"/>
  <c r="AD1793" s="1"/>
  <c r="AD1792"/>
  <c r="Q1792" s="1"/>
  <c r="Q1793"/>
  <c r="Q87" i="36"/>
  <c r="Y75"/>
  <c r="AD75" s="1"/>
  <c r="AD67"/>
  <c r="M1796" i="35"/>
  <c r="Q67" i="36"/>
  <c r="I50" i="7"/>
  <c r="I79" i="35"/>
  <c r="I80"/>
  <c r="I51" i="7"/>
  <c r="AD81" i="36"/>
  <c r="Q95"/>
  <c r="AA96"/>
  <c r="AA98" s="1"/>
  <c r="Q1807" i="35"/>
  <c r="AD97" i="36"/>
  <c r="M97"/>
  <c r="AD78"/>
  <c r="M1782" i="35"/>
  <c r="Q1782" s="1"/>
  <c r="M74" i="36"/>
  <c r="Q74" s="1"/>
  <c r="M62"/>
  <c r="AD63"/>
  <c r="Q77"/>
  <c r="Q80"/>
  <c r="H75"/>
  <c r="M75" s="1"/>
  <c r="M73"/>
  <c r="Q73" s="1"/>
  <c r="M76"/>
  <c r="J78"/>
  <c r="M78" s="1"/>
  <c r="AD76"/>
  <c r="AD62"/>
  <c r="M79"/>
  <c r="Q79" s="1"/>
  <c r="K1774" i="35"/>
  <c r="K1776" s="1"/>
  <c r="Q1796"/>
  <c r="C42" i="8"/>
  <c r="E16"/>
  <c r="E20" s="1"/>
  <c r="I16"/>
  <c r="I20" s="1"/>
  <c r="H1925" i="35"/>
  <c r="H1926"/>
  <c r="C2030"/>
  <c r="C2031"/>
  <c r="Y1813"/>
  <c r="AD1813" s="1"/>
  <c r="AD1811"/>
  <c r="AD1772"/>
  <c r="Z1774"/>
  <c r="E1929"/>
  <c r="F41" i="8"/>
  <c r="B121"/>
  <c r="B125" s="1"/>
  <c r="B86"/>
  <c r="B90" s="1"/>
  <c r="K51"/>
  <c r="K55" s="1"/>
  <c r="G51"/>
  <c r="G55" s="1"/>
  <c r="C51"/>
  <c r="C55" s="1"/>
  <c r="F16"/>
  <c r="F20" s="1"/>
  <c r="J16"/>
  <c r="J20" s="1"/>
  <c r="D121"/>
  <c r="D125" s="1"/>
  <c r="F74" i="35"/>
  <c r="F45" i="7"/>
  <c r="Q81" i="36"/>
  <c r="J1925" i="35"/>
  <c r="J1926"/>
  <c r="E2031"/>
  <c r="E2030"/>
  <c r="Q71" i="36"/>
  <c r="Q70"/>
  <c r="Q1784" i="35"/>
  <c r="AB1774"/>
  <c r="AB1776" s="1"/>
  <c r="AB1778" s="1"/>
  <c r="AD1775"/>
  <c r="Y1776"/>
  <c r="M1777"/>
  <c r="I1904"/>
  <c r="I1910"/>
  <c r="I1921" s="1"/>
  <c r="M61" i="36"/>
  <c r="H63"/>
  <c r="D1925" i="35"/>
  <c r="D1926"/>
  <c r="I1925"/>
  <c r="E1924"/>
  <c r="E1925"/>
  <c r="C1960"/>
  <c r="G1960"/>
  <c r="K1960"/>
  <c r="C1961"/>
  <c r="E1961"/>
  <c r="G1961"/>
  <c r="I1961"/>
  <c r="K1961"/>
  <c r="B1996"/>
  <c r="D1996"/>
  <c r="F1996"/>
  <c r="H1996"/>
  <c r="J1996"/>
  <c r="Q1773"/>
  <c r="I1774"/>
  <c r="M1772"/>
  <c r="F71"/>
  <c r="F42" i="7"/>
  <c r="Q75" i="36"/>
  <c r="I1926" i="35"/>
  <c r="E1926"/>
  <c r="F1925"/>
  <c r="F1926"/>
  <c r="K1925"/>
  <c r="G1924"/>
  <c r="G1925"/>
  <c r="C1924"/>
  <c r="C1925"/>
  <c r="B1961"/>
  <c r="D1961"/>
  <c r="F1961"/>
  <c r="H1961"/>
  <c r="J1961"/>
  <c r="C1995"/>
  <c r="E1995"/>
  <c r="G1995"/>
  <c r="I1995"/>
  <c r="K1995"/>
  <c r="C1996"/>
  <c r="E1996"/>
  <c r="G1996"/>
  <c r="I1996"/>
  <c r="K1996"/>
  <c r="Q69" i="36"/>
  <c r="M1786" i="35"/>
  <c r="Q1786" s="1"/>
  <c r="H1811"/>
  <c r="M1809"/>
  <c r="Q1809" s="1"/>
  <c r="K1778"/>
  <c r="M1775"/>
  <c r="H1776"/>
  <c r="AD1777"/>
  <c r="K1901"/>
  <c r="J1909"/>
  <c r="J1902"/>
  <c r="J1907"/>
  <c r="J1903"/>
  <c r="M94" i="36"/>
  <c r="H96"/>
  <c r="AD94"/>
  <c r="Y96"/>
  <c r="I1924" i="35" l="1"/>
  <c r="P1863"/>
  <c r="P1873" s="1"/>
  <c r="P148" i="36"/>
  <c r="P158" s="1"/>
  <c r="B19" i="8" s="1"/>
  <c r="K7"/>
  <c r="E1918" i="35"/>
  <c r="P52" i="7"/>
  <c r="P81" i="35"/>
  <c r="Q97" i="36"/>
  <c r="Q62"/>
  <c r="Q76"/>
  <c r="F44" i="7"/>
  <c r="F73" i="35"/>
  <c r="Q78" i="36"/>
  <c r="H83" i="35"/>
  <c r="H84" s="1"/>
  <c r="H54" i="7"/>
  <c r="H55" s="1"/>
  <c r="Q1775" i="35"/>
  <c r="Q1772"/>
  <c r="C1930"/>
  <c r="D42" i="8"/>
  <c r="I1776" i="35"/>
  <c r="I1778" s="1"/>
  <c r="M1774"/>
  <c r="R12" i="24"/>
  <c r="M63" i="36"/>
  <c r="R13" i="24"/>
  <c r="R11"/>
  <c r="Q1777" i="35"/>
  <c r="G41" i="8"/>
  <c r="F1929" i="35"/>
  <c r="Z1776"/>
  <c r="Z1778" s="1"/>
  <c r="AD1774"/>
  <c r="J1910"/>
  <c r="J1904"/>
  <c r="K1902"/>
  <c r="K1907"/>
  <c r="B1936"/>
  <c r="K1909"/>
  <c r="K1903"/>
  <c r="H1778"/>
  <c r="M1778" s="1"/>
  <c r="H1813"/>
  <c r="M1813" s="1"/>
  <c r="Q1813" s="1"/>
  <c r="M1811"/>
  <c r="Q1811" s="1"/>
  <c r="P141" i="7"/>
  <c r="Q61" i="36"/>
  <c r="P170" i="35"/>
  <c r="M32" i="11"/>
  <c r="P140" i="7"/>
  <c r="M2524" i="35"/>
  <c r="P169"/>
  <c r="Y1778"/>
  <c r="AD1778" s="1"/>
  <c r="AD1776"/>
  <c r="AD96" i="36"/>
  <c r="Y98"/>
  <c r="AD98" s="1"/>
  <c r="M96"/>
  <c r="H98"/>
  <c r="M98" s="1"/>
  <c r="P78" i="35"/>
  <c r="P80" s="1"/>
  <c r="P49" i="7"/>
  <c r="P51" s="1"/>
  <c r="Q94" i="36"/>
  <c r="P82" i="35" l="1"/>
  <c r="P87" s="1"/>
  <c r="B124" i="8"/>
  <c r="H89"/>
  <c r="J54"/>
  <c r="C19"/>
  <c r="K19"/>
  <c r="G89"/>
  <c r="I54"/>
  <c r="D19"/>
  <c r="C124"/>
  <c r="E124"/>
  <c r="J89"/>
  <c r="F89"/>
  <c r="B54"/>
  <c r="H54"/>
  <c r="D54"/>
  <c r="E19"/>
  <c r="I19"/>
  <c r="B89"/>
  <c r="I89"/>
  <c r="E89"/>
  <c r="K54"/>
  <c r="G54"/>
  <c r="C54"/>
  <c r="F19"/>
  <c r="J19"/>
  <c r="D124"/>
  <c r="F124"/>
  <c r="D89"/>
  <c r="F54"/>
  <c r="G19"/>
  <c r="K89"/>
  <c r="C89"/>
  <c r="E54"/>
  <c r="H19"/>
  <c r="J1921" i="35"/>
  <c r="J1924"/>
  <c r="F1918"/>
  <c r="Q96" i="36"/>
  <c r="P53" i="7"/>
  <c r="P58" s="1"/>
  <c r="M145" i="15"/>
  <c r="M146" s="1"/>
  <c r="M148" s="1"/>
  <c r="P1641" i="35"/>
  <c r="P1642" s="1"/>
  <c r="P1644" s="1"/>
  <c r="P145" i="15"/>
  <c r="P146" s="1"/>
  <c r="P148" s="1"/>
  <c r="J145"/>
  <c r="M1641" i="35"/>
  <c r="M1642" s="1"/>
  <c r="M1644" s="1"/>
  <c r="M1776"/>
  <c r="J1641"/>
  <c r="D1930"/>
  <c r="E42" i="8"/>
  <c r="Q1776" i="35"/>
  <c r="C1936"/>
  <c r="B1937"/>
  <c r="B1944"/>
  <c r="B1942"/>
  <c r="B1938"/>
  <c r="K1904"/>
  <c r="K1910"/>
  <c r="G1929"/>
  <c r="H41" i="8"/>
  <c r="D1621" i="35"/>
  <c r="D125" i="15"/>
  <c r="J159" i="36"/>
  <c r="P71" i="7"/>
  <c r="E93" i="15"/>
  <c r="Q63" i="36"/>
  <c r="E1589" i="35"/>
  <c r="P100"/>
  <c r="P96"/>
  <c r="J160" i="36"/>
  <c r="N150"/>
  <c r="P161"/>
  <c r="P67" i="7"/>
  <c r="P98" i="35"/>
  <c r="J158" i="36"/>
  <c r="N149"/>
  <c r="P69" i="7"/>
  <c r="N158" i="36"/>
  <c r="Q1774" i="35"/>
  <c r="P1876"/>
  <c r="P1881" s="1"/>
  <c r="Q1778"/>
  <c r="N1864"/>
  <c r="N1865"/>
  <c r="Q98" i="36"/>
  <c r="Q54" s="1"/>
  <c r="K1921" i="35" l="1"/>
  <c r="K1924"/>
  <c r="G1918"/>
  <c r="E1930"/>
  <c r="F42" i="8"/>
  <c r="Q1769" i="35"/>
  <c r="B21" i="8"/>
  <c r="B40" s="1"/>
  <c r="P166" i="36"/>
  <c r="B1939" i="35"/>
  <c r="B1945"/>
  <c r="I41" i="8"/>
  <c r="H1929" i="35"/>
  <c r="D1936"/>
  <c r="C1937"/>
  <c r="C1944"/>
  <c r="C1942"/>
  <c r="C1938"/>
  <c r="G1609" l="1"/>
  <c r="B1956"/>
  <c r="B1959"/>
  <c r="H1918"/>
  <c r="F1930"/>
  <c r="G42" i="8"/>
  <c r="C1945" i="35"/>
  <c r="C1939"/>
  <c r="E1936"/>
  <c r="D1937"/>
  <c r="D1944"/>
  <c r="D1942"/>
  <c r="D1938"/>
  <c r="I1929"/>
  <c r="J41" i="8"/>
  <c r="J91"/>
  <c r="F91"/>
  <c r="B56"/>
  <c r="H56"/>
  <c r="B126"/>
  <c r="D126"/>
  <c r="F126"/>
  <c r="K91"/>
  <c r="I91"/>
  <c r="G91"/>
  <c r="E91"/>
  <c r="C91"/>
  <c r="K56"/>
  <c r="I56"/>
  <c r="G56"/>
  <c r="E56"/>
  <c r="C56"/>
  <c r="D21"/>
  <c r="F21"/>
  <c r="H21"/>
  <c r="J21"/>
  <c r="C126"/>
  <c r="E126"/>
  <c r="B91"/>
  <c r="H91"/>
  <c r="D91"/>
  <c r="J56"/>
  <c r="D56"/>
  <c r="C21"/>
  <c r="G21"/>
  <c r="K21"/>
  <c r="F56"/>
  <c r="E21"/>
  <c r="I21"/>
  <c r="B22"/>
  <c r="I22" l="1"/>
  <c r="I40"/>
  <c r="E22"/>
  <c r="E40"/>
  <c r="F57"/>
  <c r="F75"/>
  <c r="K22"/>
  <c r="K40"/>
  <c r="G22"/>
  <c r="G40"/>
  <c r="C22"/>
  <c r="C40"/>
  <c r="D57"/>
  <c r="D75"/>
  <c r="J57"/>
  <c r="J75"/>
  <c r="D92"/>
  <c r="D110"/>
  <c r="H92"/>
  <c r="H110"/>
  <c r="B92"/>
  <c r="B110"/>
  <c r="E127"/>
  <c r="E145"/>
  <c r="C127"/>
  <c r="C145"/>
  <c r="J22"/>
  <c r="J40"/>
  <c r="H22"/>
  <c r="H40"/>
  <c r="F22"/>
  <c r="F40"/>
  <c r="D22"/>
  <c r="D40"/>
  <c r="C57"/>
  <c r="C75"/>
  <c r="E57"/>
  <c r="E75"/>
  <c r="G57"/>
  <c r="G75"/>
  <c r="I57"/>
  <c r="I75"/>
  <c r="K57"/>
  <c r="K75"/>
  <c r="C92"/>
  <c r="C110"/>
  <c r="E92"/>
  <c r="E110"/>
  <c r="G92"/>
  <c r="G110"/>
  <c r="I92"/>
  <c r="I110"/>
  <c r="K92"/>
  <c r="K110"/>
  <c r="F127"/>
  <c r="F145"/>
  <c r="D127"/>
  <c r="D145"/>
  <c r="B127"/>
  <c r="B145"/>
  <c r="H57"/>
  <c r="H75"/>
  <c r="B57"/>
  <c r="B75"/>
  <c r="F92"/>
  <c r="F110"/>
  <c r="J92"/>
  <c r="J110"/>
  <c r="S1609" i="35"/>
  <c r="S1613" s="1"/>
  <c r="S117" i="15"/>
  <c r="C1956" i="35"/>
  <c r="C1959"/>
  <c r="I1918"/>
  <c r="E36" i="8"/>
  <c r="C36"/>
  <c r="E141"/>
  <c r="F36"/>
  <c r="G71"/>
  <c r="E106"/>
  <c r="I106"/>
  <c r="F141"/>
  <c r="B141"/>
  <c r="B71"/>
  <c r="J106"/>
  <c r="B36"/>
  <c r="K36"/>
  <c r="J71"/>
  <c r="H106"/>
  <c r="J36"/>
  <c r="C71"/>
  <c r="K71"/>
  <c r="I36"/>
  <c r="F71"/>
  <c r="G36"/>
  <c r="D71"/>
  <c r="D106"/>
  <c r="B106"/>
  <c r="C141"/>
  <c r="H36"/>
  <c r="D36"/>
  <c r="E71"/>
  <c r="I71"/>
  <c r="C106"/>
  <c r="G106"/>
  <c r="K106"/>
  <c r="D141"/>
  <c r="H71"/>
  <c r="F106"/>
  <c r="H42"/>
  <c r="G1930" i="35"/>
  <c r="K41" i="8"/>
  <c r="J1929" i="35"/>
  <c r="F1936"/>
  <c r="E1937"/>
  <c r="E1944"/>
  <c r="E1942"/>
  <c r="E1938"/>
  <c r="D1939"/>
  <c r="D1945"/>
  <c r="D1956" l="1"/>
  <c r="D1959"/>
  <c r="J1918"/>
  <c r="I42" i="8"/>
  <c r="H1930" i="35"/>
  <c r="G1936"/>
  <c r="F1937"/>
  <c r="F1944"/>
  <c r="F1942"/>
  <c r="F1938"/>
  <c r="K1929"/>
  <c r="B76" i="8"/>
  <c r="E1945" i="35"/>
  <c r="E1939"/>
  <c r="E1956" l="1"/>
  <c r="E1959"/>
  <c r="K1918"/>
  <c r="J42" i="8"/>
  <c r="I1930" i="35"/>
  <c r="C76" i="8"/>
  <c r="B1964" i="35"/>
  <c r="H1936"/>
  <c r="G1937"/>
  <c r="G1944"/>
  <c r="G1942"/>
  <c r="G1938"/>
  <c r="F1939"/>
  <c r="F1945"/>
  <c r="F1956" l="1"/>
  <c r="F1959"/>
  <c r="B1953"/>
  <c r="K42" i="8"/>
  <c r="J1930" i="35"/>
  <c r="I1936"/>
  <c r="H1937"/>
  <c r="H1944"/>
  <c r="H1942"/>
  <c r="H1938"/>
  <c r="C1964"/>
  <c r="D76" i="8"/>
  <c r="G1945" i="35"/>
  <c r="G1939"/>
  <c r="G1956" l="1"/>
  <c r="G1959"/>
  <c r="C1953"/>
  <c r="B77" i="8"/>
  <c r="K1930" i="35"/>
  <c r="E76" i="8"/>
  <c r="D1964" i="35"/>
  <c r="J1936"/>
  <c r="I1937"/>
  <c r="I1944"/>
  <c r="I1942"/>
  <c r="I1938"/>
  <c r="H1939"/>
  <c r="H1945"/>
  <c r="H1956" l="1"/>
  <c r="H1959"/>
  <c r="D1953"/>
  <c r="C77" i="8"/>
  <c r="B1965" i="35"/>
  <c r="K1936"/>
  <c r="J1937"/>
  <c r="J1944"/>
  <c r="J1942"/>
  <c r="J1938"/>
  <c r="E1964"/>
  <c r="F76" i="8"/>
  <c r="I1945" i="35"/>
  <c r="I1939"/>
  <c r="I1956" l="1"/>
  <c r="I1959"/>
  <c r="E1953"/>
  <c r="D77" i="8"/>
  <c r="C1965" i="35"/>
  <c r="G76" i="8"/>
  <c r="F1964" i="35"/>
  <c r="B1971"/>
  <c r="K1937"/>
  <c r="K1944"/>
  <c r="K1942"/>
  <c r="K1938"/>
  <c r="J1939"/>
  <c r="J1945"/>
  <c r="J1956" l="1"/>
  <c r="J1959"/>
  <c r="F1953"/>
  <c r="E77" i="8"/>
  <c r="D1965" i="35"/>
  <c r="C1971"/>
  <c r="B1973"/>
  <c r="B1972"/>
  <c r="B1979"/>
  <c r="B1977"/>
  <c r="G1964"/>
  <c r="H76" i="8"/>
  <c r="K1945" i="35"/>
  <c r="K1939"/>
  <c r="K1956" l="1"/>
  <c r="K1959"/>
  <c r="G1953"/>
  <c r="F77" i="8"/>
  <c r="E1965" i="35"/>
  <c r="I76" i="8"/>
  <c r="H1964" i="35"/>
  <c r="B1980"/>
  <c r="B1974"/>
  <c r="C1972"/>
  <c r="C1979"/>
  <c r="C1977"/>
  <c r="C1973"/>
  <c r="D1971"/>
  <c r="B1991" l="1"/>
  <c r="B1994"/>
  <c r="H1953"/>
  <c r="G77" i="8"/>
  <c r="F1965" i="35"/>
  <c r="E1971"/>
  <c r="D1973"/>
  <c r="D1972"/>
  <c r="D1979"/>
  <c r="D1977"/>
  <c r="C1980"/>
  <c r="C1974"/>
  <c r="I1964"/>
  <c r="J76" i="8"/>
  <c r="C1991" i="35" l="1"/>
  <c r="C1994"/>
  <c r="I1953"/>
  <c r="G1965"/>
  <c r="H77" i="8"/>
  <c r="K76"/>
  <c r="J1964" i="35"/>
  <c r="D1980"/>
  <c r="D1974"/>
  <c r="F1971"/>
  <c r="E1972"/>
  <c r="E1979"/>
  <c r="E1977"/>
  <c r="E1973"/>
  <c r="E1954" l="1"/>
  <c r="D1954"/>
  <c r="D1991"/>
  <c r="D1994"/>
  <c r="J1953"/>
  <c r="H1965"/>
  <c r="I77" i="8"/>
  <c r="G1971" i="35"/>
  <c r="F1973"/>
  <c r="F1972"/>
  <c r="F1979"/>
  <c r="F1977"/>
  <c r="K1964"/>
  <c r="B111" i="8"/>
  <c r="E1980" i="35"/>
  <c r="E1974"/>
  <c r="E1991" l="1"/>
  <c r="E1994"/>
  <c r="K1953"/>
  <c r="I1965"/>
  <c r="J77" i="8"/>
  <c r="C111"/>
  <c r="B1999" i="35"/>
  <c r="F1980"/>
  <c r="F1974"/>
  <c r="G1972"/>
  <c r="G1979"/>
  <c r="G1977"/>
  <c r="G1973"/>
  <c r="H1971"/>
  <c r="F1991" l="1"/>
  <c r="F1994"/>
  <c r="B1988"/>
  <c r="J1965"/>
  <c r="K77" i="8"/>
  <c r="I1971" i="35"/>
  <c r="H1973"/>
  <c r="H1972"/>
  <c r="H1979"/>
  <c r="H1977"/>
  <c r="G1980"/>
  <c r="G1974"/>
  <c r="C1999"/>
  <c r="D111" i="8"/>
  <c r="G1991" i="35" l="1"/>
  <c r="G1994"/>
  <c r="C1988"/>
  <c r="K1965"/>
  <c r="B112" i="8"/>
  <c r="E111"/>
  <c r="D1999" i="35"/>
  <c r="H1980"/>
  <c r="H1974"/>
  <c r="J1971"/>
  <c r="I1972"/>
  <c r="I1979"/>
  <c r="I1977"/>
  <c r="I1973"/>
  <c r="H1991" l="1"/>
  <c r="H1994"/>
  <c r="D1988"/>
  <c r="B2000"/>
  <c r="C112" i="8"/>
  <c r="K1971" i="35"/>
  <c r="J1973"/>
  <c r="J1972"/>
  <c r="J1979"/>
  <c r="J1977"/>
  <c r="E1999"/>
  <c r="F111" i="8"/>
  <c r="I1980" i="35"/>
  <c r="I1974"/>
  <c r="I1991" l="1"/>
  <c r="I1994"/>
  <c r="E1988"/>
  <c r="C2000"/>
  <c r="D112" i="8"/>
  <c r="G111"/>
  <c r="F1999" i="35"/>
  <c r="J1980"/>
  <c r="J1974"/>
  <c r="K1972"/>
  <c r="K1979"/>
  <c r="K1977"/>
  <c r="K1973"/>
  <c r="B2006"/>
  <c r="J1991" l="1"/>
  <c r="J1994"/>
  <c r="F1988"/>
  <c r="E112" i="8"/>
  <c r="D2000" i="35"/>
  <c r="C2006"/>
  <c r="B2007"/>
  <c r="B2012"/>
  <c r="B2014"/>
  <c r="B2008"/>
  <c r="K1980"/>
  <c r="K1974"/>
  <c r="G1999"/>
  <c r="H111" i="8"/>
  <c r="K1991" i="35" l="1"/>
  <c r="K1994"/>
  <c r="G1988"/>
  <c r="F112" i="8"/>
  <c r="E2000" i="35"/>
  <c r="I111" i="8"/>
  <c r="H1999" i="35"/>
  <c r="B2015"/>
  <c r="B2009"/>
  <c r="D2006"/>
  <c r="C2007"/>
  <c r="C2014"/>
  <c r="C2012"/>
  <c r="C2008"/>
  <c r="B2026" l="1"/>
  <c r="B2029"/>
  <c r="H1988"/>
  <c r="G112" i="8"/>
  <c r="F2000" i="35"/>
  <c r="C2015"/>
  <c r="C2009"/>
  <c r="E2006"/>
  <c r="D2007"/>
  <c r="D2012"/>
  <c r="D2014"/>
  <c r="D2008"/>
  <c r="I1999"/>
  <c r="J111" i="8"/>
  <c r="C2026" i="35" l="1"/>
  <c r="C2029"/>
  <c r="I1988"/>
  <c r="H112" i="8"/>
  <c r="G2000" i="35"/>
  <c r="K111" i="8"/>
  <c r="J1999" i="35"/>
  <c r="D2009"/>
  <c r="D2015"/>
  <c r="E2014"/>
  <c r="F2006"/>
  <c r="E2007"/>
  <c r="E2012"/>
  <c r="E2008"/>
  <c r="D2026" l="1"/>
  <c r="D2029"/>
  <c r="J1988"/>
  <c r="I112" i="8"/>
  <c r="H2000" i="35"/>
  <c r="E2015"/>
  <c r="E2009"/>
  <c r="F2007"/>
  <c r="F2012"/>
  <c r="F2014"/>
  <c r="F2008"/>
  <c r="K1999"/>
  <c r="B146" i="8"/>
  <c r="E2026" i="35" l="1"/>
  <c r="E2029"/>
  <c r="K1988"/>
  <c r="J112" i="8"/>
  <c r="I2000" i="35"/>
  <c r="C146" i="8"/>
  <c r="B2034" i="35"/>
  <c r="F2015"/>
  <c r="F2009"/>
  <c r="F2026" l="1"/>
  <c r="F2029"/>
  <c r="B2023"/>
  <c r="K112" i="8"/>
  <c r="J2000" i="35"/>
  <c r="C2034"/>
  <c r="D146" i="8"/>
  <c r="C2023" i="35" l="1"/>
  <c r="B147" i="8"/>
  <c r="K2000" i="35"/>
  <c r="E146" i="8"/>
  <c r="D2034" i="35"/>
  <c r="D2023" l="1"/>
  <c r="C147" i="8"/>
  <c r="B2035" i="35"/>
  <c r="E2034"/>
  <c r="F146" i="8"/>
  <c r="F2034" i="35" s="1"/>
  <c r="E2023" l="1"/>
  <c r="D147" i="8"/>
  <c r="C2035" i="35"/>
  <c r="F2023" l="1"/>
  <c r="E147" i="8"/>
  <c r="D2035" i="35"/>
  <c r="F147" i="8" l="1"/>
  <c r="F2035" i="35" s="1"/>
  <c r="E2035"/>
  <c r="H394" l="1"/>
  <c r="G1530"/>
  <c r="J1530"/>
  <c r="G1531"/>
  <c r="J1531"/>
  <c r="G36" i="15"/>
  <c r="G1532" i="35" l="1"/>
  <c r="B1535" s="1"/>
  <c r="D1535" s="1"/>
  <c r="J36" i="15"/>
  <c r="J1532" i="35"/>
  <c r="B39" i="15"/>
  <c r="G42" s="1"/>
  <c r="J42" s="1"/>
  <c r="J1538" i="35" s="1"/>
  <c r="D1534" l="1"/>
  <c r="D38" i="15"/>
  <c r="D39"/>
  <c r="G1611" i="35"/>
  <c r="F1611" s="1"/>
  <c r="F115" i="15"/>
  <c r="J1611" i="35"/>
  <c r="J1613" s="1"/>
  <c r="G117" i="15"/>
  <c r="J117" l="1"/>
  <c r="G1613" i="35"/>
  <c r="G1538"/>
  <c r="G1554"/>
  <c r="J1554"/>
  <c r="G1555"/>
  <c r="J1555"/>
  <c r="G68" i="15"/>
  <c r="J68"/>
  <c r="G1602" i="35"/>
  <c r="G109" i="15"/>
  <c r="F106" s="1"/>
  <c r="J106" l="1"/>
  <c r="C109"/>
  <c r="F107"/>
  <c r="F1602" i="35"/>
  <c r="G1605"/>
  <c r="C1605" s="1"/>
  <c r="G1564"/>
  <c r="F42" i="15"/>
  <c r="D37" i="3"/>
  <c r="D390" i="35" s="1"/>
  <c r="F108" i="15"/>
  <c r="J1564" i="35"/>
  <c r="F1538"/>
  <c r="J1602" l="1"/>
  <c r="J1605" s="1"/>
  <c r="J109" i="15"/>
  <c r="J123" s="1"/>
  <c r="J140" s="1"/>
  <c r="J142" s="1"/>
  <c r="J144" s="1"/>
  <c r="J146" s="1"/>
  <c r="J148" s="1"/>
  <c r="J149" s="1"/>
  <c r="J1619" i="35"/>
  <c r="J1636" s="1"/>
  <c r="J1638" s="1"/>
  <c r="J1640" s="1"/>
  <c r="J1642" s="1"/>
  <c r="J1644" s="1"/>
  <c r="J1645" s="1"/>
  <c r="B1919"/>
  <c r="C1919"/>
  <c r="D1919"/>
  <c r="F1919"/>
  <c r="G1919"/>
  <c r="H1919"/>
  <c r="I1919"/>
  <c r="J1919"/>
  <c r="K1919"/>
  <c r="B46" i="8"/>
  <c r="B1934" i="35" s="1"/>
  <c r="C46" i="8" l="1"/>
  <c r="C1934" i="35" l="1"/>
  <c r="D46" i="8"/>
  <c r="E1919" i="35" l="1"/>
  <c r="B1954"/>
  <c r="D1934"/>
  <c r="E46" i="8"/>
  <c r="E1934" i="35" l="1"/>
  <c r="F46" i="8"/>
  <c r="F1934" i="35" l="1"/>
  <c r="G46" i="8"/>
  <c r="G1934" i="35" l="1"/>
  <c r="H46" i="8"/>
  <c r="H1934" i="35" l="1"/>
  <c r="I46" i="8"/>
  <c r="I1934" i="35" l="1"/>
  <c r="J46" i="8"/>
  <c r="J1934" i="35" l="1"/>
  <c r="K46" i="8"/>
  <c r="K1934" i="35" l="1"/>
  <c r="B81" i="8"/>
  <c r="B1969" i="35" l="1"/>
  <c r="C1954" l="1"/>
  <c r="C81" i="8"/>
  <c r="C1969" i="35" l="1"/>
  <c r="D81" i="8"/>
  <c r="D1969" i="35" l="1"/>
  <c r="E81" i="8"/>
  <c r="E1969" i="35" l="1"/>
  <c r="F81" i="8"/>
  <c r="F1969" i="35" l="1"/>
  <c r="G81" i="8"/>
  <c r="G1969" i="35" l="1"/>
  <c r="H81" i="8"/>
  <c r="H1969" i="35" l="1"/>
  <c r="I81" i="8"/>
  <c r="I1969" i="35" l="1"/>
  <c r="J81" i="8"/>
  <c r="J1969" i="35" l="1"/>
  <c r="K81" i="8"/>
  <c r="K1969" i="35" l="1"/>
  <c r="B116" i="8"/>
  <c r="B2004" i="35" l="1"/>
  <c r="C116" i="8"/>
  <c r="C2004" i="35" l="1"/>
  <c r="D116" i="8"/>
  <c r="D2004" i="35" l="1"/>
  <c r="E116" i="8"/>
  <c r="E2004" i="35" l="1"/>
  <c r="F116" i="8"/>
  <c r="F2004" i="35" l="1"/>
  <c r="G116" i="8"/>
  <c r="G2004" i="35" l="1"/>
  <c r="H116" i="8"/>
  <c r="H2004" i="35" l="1"/>
  <c r="I116" i="8"/>
  <c r="I2004" i="35" l="1"/>
  <c r="J116" i="8"/>
  <c r="J2004" i="35" l="1"/>
  <c r="K116" i="8"/>
  <c r="K2004" i="35" l="1"/>
  <c r="B151" i="8"/>
  <c r="B2039" i="35" l="1"/>
  <c r="C151" i="8"/>
  <c r="C2039" i="35" l="1"/>
  <c r="D151" i="8"/>
  <c r="D2039" i="35" l="1"/>
  <c r="E151" i="8"/>
  <c r="E2039" i="35" l="1"/>
  <c r="F151" i="8"/>
  <c r="F2039" i="35" s="1"/>
  <c r="G1955"/>
  <c r="H1955"/>
  <c r="I1955"/>
  <c r="J1955"/>
  <c r="K1955"/>
  <c r="B1990"/>
  <c r="C1990" l="1"/>
  <c r="D1990" l="1"/>
  <c r="E1990" l="1"/>
  <c r="F1990" l="1"/>
  <c r="G1990" l="1"/>
  <c r="H1990" l="1"/>
  <c r="I1990" l="1"/>
  <c r="J1990" l="1"/>
  <c r="K1990" l="1"/>
  <c r="B137" i="8"/>
  <c r="B2025" i="35" l="1"/>
  <c r="C137" i="8"/>
  <c r="C2025" i="35" l="1"/>
  <c r="D137" i="8"/>
  <c r="D2025" i="35" l="1"/>
  <c r="E137" i="8"/>
  <c r="E2025" i="35" l="1"/>
  <c r="F137" i="8"/>
  <c r="F2025" i="35" s="1"/>
  <c r="G1588"/>
  <c r="G1594" s="1"/>
  <c r="G1619" s="1"/>
  <c r="M1621" s="1"/>
  <c r="S1588"/>
  <c r="S1594" s="1"/>
  <c r="S1619" s="1"/>
  <c r="G98" i="15"/>
  <c r="S98"/>
  <c r="G123"/>
  <c r="M125" s="1"/>
  <c r="S123"/>
  <c r="G125" l="1"/>
  <c r="J152"/>
  <c r="M151" s="1"/>
  <c r="G1621" i="35"/>
  <c r="H403"/>
  <c r="H50" i="3"/>
  <c r="L379" i="35"/>
  <c r="L380" s="1"/>
  <c r="L26" i="3"/>
  <c r="L27" s="1"/>
  <c r="J1648" i="35"/>
  <c r="J1649" l="1"/>
  <c r="M1647" s="1"/>
  <c r="S394"/>
  <c r="H389"/>
  <c r="S41" i="3"/>
  <c r="M389" i="35" l="1"/>
  <c r="C28" i="8"/>
  <c r="E28"/>
  <c r="G28"/>
  <c r="I28"/>
  <c r="K28"/>
  <c r="C63"/>
  <c r="E63"/>
  <c r="G63"/>
  <c r="I63"/>
  <c r="K63"/>
  <c r="B98"/>
  <c r="D98"/>
  <c r="F98"/>
  <c r="H98"/>
  <c r="J98"/>
  <c r="D133"/>
  <c r="B28"/>
  <c r="D28"/>
  <c r="F28"/>
  <c r="H28"/>
  <c r="J28"/>
  <c r="B63"/>
  <c r="D63"/>
  <c r="F63"/>
  <c r="H63"/>
  <c r="J63"/>
  <c r="C98"/>
  <c r="E98"/>
  <c r="G98"/>
  <c r="I98"/>
  <c r="K98"/>
  <c r="C133"/>
  <c r="E133"/>
  <c r="B133"/>
  <c r="F133"/>
  <c r="B2021" i="35" l="1"/>
  <c r="B2032" s="1"/>
  <c r="B144" i="8"/>
  <c r="B138"/>
  <c r="I1986" i="35"/>
  <c r="I1997" s="1"/>
  <c r="I103" i="8"/>
  <c r="I109"/>
  <c r="E1986" i="35"/>
  <c r="E1997" s="1"/>
  <c r="E103" i="8"/>
  <c r="E109"/>
  <c r="F1951" i="35"/>
  <c r="F1962" s="1"/>
  <c r="F74" i="8"/>
  <c r="F1955" i="35"/>
  <c r="B1951"/>
  <c r="B1962" s="1"/>
  <c r="B74" i="8"/>
  <c r="B1955" i="35"/>
  <c r="H1916"/>
  <c r="H1927" s="1"/>
  <c r="H1920"/>
  <c r="H39" i="8"/>
  <c r="D2021" i="35"/>
  <c r="D2032" s="1"/>
  <c r="D138" i="8"/>
  <c r="D144"/>
  <c r="H1986" i="35"/>
  <c r="H1997" s="1"/>
  <c r="H103" i="8"/>
  <c r="H109"/>
  <c r="D1986" i="35"/>
  <c r="D1997" s="1"/>
  <c r="D103" i="8"/>
  <c r="D109"/>
  <c r="K1951" i="35"/>
  <c r="K1962" s="1"/>
  <c r="K68" i="8"/>
  <c r="K74"/>
  <c r="G1951" i="35"/>
  <c r="G1962" s="1"/>
  <c r="G68" i="8"/>
  <c r="G74"/>
  <c r="C1951" i="35"/>
  <c r="C1962" s="1"/>
  <c r="C1955"/>
  <c r="C74" i="8"/>
  <c r="E1916" i="35"/>
  <c r="E1927" s="1"/>
  <c r="E1920"/>
  <c r="E39" i="8"/>
  <c r="F2021" i="35"/>
  <c r="F2032" s="1"/>
  <c r="F144" i="8"/>
  <c r="F138"/>
  <c r="E2021" i="35"/>
  <c r="E2032" s="1"/>
  <c r="E144" i="8"/>
  <c r="E138"/>
  <c r="K1986" i="35"/>
  <c r="K1997" s="1"/>
  <c r="K103" i="8"/>
  <c r="K109"/>
  <c r="G1986" i="35"/>
  <c r="G1997" s="1"/>
  <c r="G103" i="8"/>
  <c r="G109"/>
  <c r="C1986" i="35"/>
  <c r="C1997" s="1"/>
  <c r="C103" i="8"/>
  <c r="C109"/>
  <c r="H1951" i="35"/>
  <c r="H1962" s="1"/>
  <c r="H68" i="8"/>
  <c r="H74"/>
  <c r="D1951" i="35"/>
  <c r="D1962" s="1"/>
  <c r="D74" i="8"/>
  <c r="D1955" i="35"/>
  <c r="J1916"/>
  <c r="J1927" s="1"/>
  <c r="J1920"/>
  <c r="J39" i="8"/>
  <c r="F1916" i="35"/>
  <c r="F1927" s="1"/>
  <c r="F1920"/>
  <c r="F39" i="8"/>
  <c r="B1916" i="35"/>
  <c r="B39" i="8"/>
  <c r="B45"/>
  <c r="B1933" i="35" s="1"/>
  <c r="J1986"/>
  <c r="J1997" s="1"/>
  <c r="J103" i="8"/>
  <c r="J109"/>
  <c r="F1986" i="35"/>
  <c r="F1997" s="1"/>
  <c r="F103" i="8"/>
  <c r="F109"/>
  <c r="B1986" i="35"/>
  <c r="B1997" s="1"/>
  <c r="B103" i="8"/>
  <c r="B109"/>
  <c r="I1951" i="35"/>
  <c r="I1962" s="1"/>
  <c r="I68" i="8"/>
  <c r="I74"/>
  <c r="E1951" i="35"/>
  <c r="E1962" s="1"/>
  <c r="E1955"/>
  <c r="E74" i="8"/>
  <c r="K1916" i="35"/>
  <c r="K1927" s="1"/>
  <c r="K1920"/>
  <c r="K39" i="8"/>
  <c r="G1916" i="35"/>
  <c r="G1927" s="1"/>
  <c r="G1920"/>
  <c r="G39" i="8"/>
  <c r="C1916" i="35"/>
  <c r="C1927" s="1"/>
  <c r="C1920"/>
  <c r="C39" i="8"/>
  <c r="C45"/>
  <c r="C1933" i="35" s="1"/>
  <c r="C2021"/>
  <c r="C2032" s="1"/>
  <c r="C138" i="8"/>
  <c r="C144"/>
  <c r="J1951" i="35"/>
  <c r="J1962" s="1"/>
  <c r="J68" i="8"/>
  <c r="J74"/>
  <c r="D1916" i="35"/>
  <c r="D1927" s="1"/>
  <c r="D1920"/>
  <c r="D39" i="8"/>
  <c r="D45"/>
  <c r="D1933" i="35" s="1"/>
  <c r="I1916"/>
  <c r="I1927" s="1"/>
  <c r="I1920"/>
  <c r="I39" i="8"/>
  <c r="I33" l="1"/>
  <c r="G33"/>
  <c r="H33"/>
  <c r="E68"/>
  <c r="F33"/>
  <c r="E33"/>
  <c r="C68"/>
  <c r="B1920" i="35"/>
  <c r="K6" i="8"/>
  <c r="F68"/>
  <c r="D33"/>
  <c r="C33"/>
  <c r="K33"/>
  <c r="B33"/>
  <c r="B1927" i="35"/>
  <c r="B1921"/>
  <c r="J33" i="8"/>
  <c r="D68"/>
  <c r="E45"/>
  <c r="B68"/>
  <c r="E1933" i="35" l="1"/>
  <c r="F45" i="8"/>
  <c r="F1933" i="35" l="1"/>
  <c r="G45" i="8"/>
  <c r="G1933" i="35" l="1"/>
  <c r="H45" i="8"/>
  <c r="H1933" i="35" l="1"/>
  <c r="I45" i="8"/>
  <c r="I1933" i="35" l="1"/>
  <c r="J45" i="8"/>
  <c r="J1933" i="35" l="1"/>
  <c r="K45" i="8"/>
  <c r="K1933" i="35" l="1"/>
  <c r="B80" i="8"/>
  <c r="B1968" i="35" l="1"/>
  <c r="C80" i="8"/>
  <c r="C1968" i="35" l="1"/>
  <c r="D80" i="8"/>
  <c r="D1968" i="35" l="1"/>
  <c r="E80" i="8"/>
  <c r="E1968" i="35" l="1"/>
  <c r="F80" i="8"/>
  <c r="F1968" i="35" l="1"/>
  <c r="G80" i="8"/>
  <c r="G1968" i="35" l="1"/>
  <c r="H80" i="8"/>
  <c r="H1968" i="35" l="1"/>
  <c r="I80" i="8"/>
  <c r="I1968" i="35" l="1"/>
  <c r="J80" i="8"/>
  <c r="J1968" i="35" l="1"/>
  <c r="K80" i="8"/>
  <c r="K1968" i="35" l="1"/>
  <c r="B115" i="8"/>
  <c r="B2003" i="35" l="1"/>
  <c r="C115" i="8"/>
  <c r="C2003" i="35" l="1"/>
  <c r="D115" i="8"/>
  <c r="D2003" i="35" l="1"/>
  <c r="E115" i="8"/>
  <c r="E2003" i="35" l="1"/>
  <c r="F115" i="8"/>
  <c r="F2003" i="35" l="1"/>
  <c r="G115" i="8"/>
  <c r="G2003" i="35" l="1"/>
  <c r="H115" i="8"/>
  <c r="H2003" i="35" l="1"/>
  <c r="I115" i="8"/>
  <c r="I2003" i="35" l="1"/>
  <c r="J115" i="8"/>
  <c r="J2003" i="35" l="1"/>
  <c r="K115" i="8"/>
  <c r="K2003" i="35" l="1"/>
  <c r="B150" i="8"/>
  <c r="B2038" i="35" l="1"/>
  <c r="C150" i="8"/>
  <c r="C2038" i="35" l="1"/>
  <c r="D150" i="8"/>
  <c r="D2038" i="35" l="1"/>
  <c r="E150" i="8"/>
  <c r="E2038" i="35" l="1"/>
  <c r="F150" i="8"/>
  <c r="F2038" i="35" s="1"/>
  <c r="H393"/>
  <c r="S393" s="1"/>
  <c r="S395" s="1"/>
  <c r="S40" i="3"/>
  <c r="S42" s="1"/>
  <c r="H49"/>
  <c r="J1650" i="35" l="1"/>
  <c r="J1651" s="1"/>
  <c r="J1653" s="1"/>
  <c r="J1655" s="1"/>
  <c r="J1657" s="1"/>
  <c r="J154" i="15"/>
  <c r="J155" s="1"/>
  <c r="J157" s="1"/>
  <c r="J159" s="1"/>
  <c r="J161" s="1"/>
  <c r="H51" i="3"/>
  <c r="H402" i="35"/>
  <c r="H404" s="1"/>
  <c r="J1659" l="1"/>
  <c r="M163" i="15"/>
  <c r="J165"/>
  <c r="J394" i="35" l="1"/>
  <c r="L394" s="1"/>
  <c r="J41" i="3"/>
  <c r="L41" s="1"/>
  <c r="E92" i="15"/>
  <c r="J393" i="35"/>
  <c r="L393" s="1"/>
  <c r="J40" i="3"/>
  <c r="L40" s="1"/>
  <c r="J6" i="7"/>
  <c r="M1659" i="35"/>
  <c r="J1661"/>
</calcChain>
</file>

<file path=xl/sharedStrings.xml><?xml version="1.0" encoding="utf-8"?>
<sst xmlns="http://schemas.openxmlformats.org/spreadsheetml/2006/main" count="10110" uniqueCount="4110">
  <si>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</si>
  <si>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</si>
  <si>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</si>
  <si>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</si>
  <si>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</si>
  <si>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</si>
  <si>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</si>
  <si>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</si>
  <si>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</si>
  <si>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</si>
  <si>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</si>
  <si>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</si>
  <si>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</si>
  <si>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</si>
  <si>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</si>
  <si>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</si>
  <si>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</si>
  <si>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</si>
  <si>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</si>
  <si>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</si>
  <si>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</si>
  <si>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</si>
  <si>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</si>
  <si>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</si>
  <si>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</si>
  <si>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</si>
  <si>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</si>
  <si>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</si>
  <si>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</si>
  <si>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</si>
  <si>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</si>
  <si>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</si>
  <si>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</si>
  <si>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</si>
  <si>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</si>
  <si>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</si>
  <si>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</si>
  <si>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</si>
  <si>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</si>
  <si>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</si>
  <si>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</si>
  <si>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</si>
  <si>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</si>
  <si>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</si>
  <si>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</si>
  <si>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</si>
  <si>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</si>
  <si>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</si>
  <si>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</si>
  <si>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</si>
  <si>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</si>
  <si>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</si>
  <si>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</si>
  <si>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</si>
  <si>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</si>
  <si>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</si>
  <si>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</si>
  <si>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</si>
  <si>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</si>
  <si>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</si>
  <si>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</si>
  <si>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</si>
  <si>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</si>
  <si>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</si>
  <si>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</si>
  <si>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</si>
  <si>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</si>
  <si>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</si>
  <si>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</si>
  <si>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</si>
  <si>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</si>
  <si>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</si>
  <si>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</si>
  <si>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</si>
  <si>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</si>
  <si>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</si>
  <si>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</si>
  <si>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</si>
  <si>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</si>
  <si>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</si>
  <si>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</si>
  <si>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</si>
  <si>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</si>
  <si>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</si>
  <si>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</si>
  <si>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</si>
  <si>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</si>
  <si>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</si>
  <si>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</si>
  <si>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</si>
  <si>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</si>
  <si>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</si>
  <si>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</si>
  <si>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</si>
  <si>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</si>
  <si>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</si>
  <si>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</si>
  <si>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</si>
  <si>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</si>
  <si>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</si>
  <si>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</si>
  <si>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</si>
  <si>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</si>
  <si>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</si>
  <si>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</si>
  <si>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</si>
  <si>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</si>
  <si>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</si>
  <si>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</si>
  <si>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</si>
  <si>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</si>
  <si>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</si>
  <si>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</si>
  <si>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</si>
  <si>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</si>
  <si>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</si>
  <si>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</si>
  <si>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</si>
  <si>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</si>
  <si>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</si>
  <si>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</si>
  <si>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</si>
  <si>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</si>
  <si>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</si>
  <si>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</si>
  <si>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</si>
  <si>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</si>
  <si>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</si>
  <si>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</si>
  <si>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</si>
  <si>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</si>
  <si>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</si>
  <si>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</si>
  <si>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</si>
  <si>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</si>
  <si>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</si>
  <si>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</si>
  <si>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</si>
  <si>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</si>
  <si>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</si>
  <si>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</si>
  <si>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</si>
  <si>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</si>
  <si>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</si>
  <si>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</si>
  <si>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</si>
  <si>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</si>
  <si>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</si>
  <si>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</si>
  <si>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</si>
  <si>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</si>
  <si>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</si>
  <si>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</si>
  <si>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</si>
  <si>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</si>
  <si>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</si>
  <si>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</si>
  <si>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</si>
  <si>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</si>
  <si>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</si>
  <si>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</si>
  <si>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</si>
  <si>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</si>
  <si>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</si>
  <si>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</si>
  <si>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</si>
  <si>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</si>
  <si>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</si>
  <si>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</si>
  <si>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</si>
  <si>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</si>
  <si>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</si>
  <si>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</si>
  <si>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</si>
  <si>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</si>
  <si>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</si>
  <si>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</si>
  <si>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</si>
  <si>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</si>
  <si>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</si>
  <si>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</si>
  <si>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</si>
  <si>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</si>
  <si>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</si>
  <si>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</si>
  <si>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</si>
  <si>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</si>
  <si>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</si>
  <si>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</si>
  <si>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</si>
  <si>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</si>
  <si>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</si>
  <si>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</si>
  <si>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</si>
  <si>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</si>
  <si>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</si>
  <si>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</si>
  <si>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</si>
  <si>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</si>
  <si>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</si>
  <si>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</si>
  <si>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</si>
  <si>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</si>
  <si>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</si>
  <si>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</si>
  <si>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</si>
  <si>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</si>
  <si>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</si>
  <si>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</si>
  <si>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</si>
  <si>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</si>
  <si>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</si>
  <si>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</si>
  <si>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</si>
  <si>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</si>
  <si>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</si>
  <si>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</si>
  <si>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</si>
  <si>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</si>
  <si>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</si>
  <si>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</si>
  <si>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</si>
  <si>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</si>
  <si>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</si>
  <si>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</si>
  <si>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</si>
  <si>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</si>
  <si>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</si>
  <si>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</si>
  <si>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</si>
  <si>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</si>
  <si>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</si>
  <si>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</si>
  <si>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</si>
  <si>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</si>
  <si>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</si>
  <si>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</si>
  <si>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</si>
  <si>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</si>
  <si>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</si>
  <si>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</si>
  <si>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</si>
  <si>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</si>
  <si>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</si>
  <si>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</si>
  <si>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</si>
  <si>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</si>
  <si>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</si>
  <si>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</si>
  <si>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</si>
  <si>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</si>
  <si>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</si>
  <si>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</si>
  <si>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</si>
  <si>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</si>
  <si>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</si>
  <si>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</si>
  <si>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</si>
  <si>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</si>
  <si>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</si>
  <si>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</si>
  <si>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</si>
  <si>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</si>
  <si>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</si>
  <si>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</si>
  <si>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</si>
  <si>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</si>
  <si>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</si>
  <si>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</si>
  <si>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</si>
  <si>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</si>
  <si>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</si>
  <si>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</si>
  <si>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</si>
  <si>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</si>
  <si>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</si>
  <si>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</si>
  <si>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</si>
  <si>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</si>
  <si>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</si>
  <si>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</si>
  <si>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</si>
  <si>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</si>
  <si>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</si>
  <si>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</si>
  <si>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</si>
  <si>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</si>
  <si>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</si>
  <si>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</si>
  <si>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</si>
  <si>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</si>
  <si>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</si>
  <si>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</si>
  <si>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</si>
  <si>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</si>
  <si>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</si>
  <si>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</si>
  <si>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</si>
  <si>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</si>
  <si>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</si>
  <si>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</si>
  <si>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</si>
  <si>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</si>
  <si>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</si>
  <si>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</si>
  <si>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</si>
  <si>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</si>
  <si>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</si>
  <si>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</si>
  <si>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</si>
  <si>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</si>
  <si>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</si>
  <si>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</si>
  <si>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</si>
  <si>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</si>
  <si>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</si>
  <si>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</si>
  <si>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</si>
  <si>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</si>
  <si>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</si>
  <si>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</si>
  <si>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</si>
  <si>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</si>
  <si>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</si>
  <si>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</si>
  <si>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</si>
  <si>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</si>
  <si>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</si>
  <si>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</si>
  <si>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</si>
  <si>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</si>
  <si>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</si>
  <si>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</si>
  <si>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</si>
  <si>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</si>
  <si>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</si>
  <si>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</si>
  <si>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</si>
  <si>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</si>
  <si>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</si>
  <si>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</si>
  <si>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</si>
  <si>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</si>
  <si>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</si>
  <si>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</si>
  <si>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</si>
  <si>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</si>
  <si>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</si>
  <si>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</si>
  <si>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</si>
  <si>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</si>
  <si>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</si>
  <si>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</si>
  <si>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</si>
  <si>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</si>
  <si>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</si>
  <si>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</si>
  <si>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</si>
  <si>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</si>
  <si>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</si>
  <si>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</si>
  <si>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</si>
  <si>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</si>
  <si>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</si>
  <si>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</si>
  <si>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</si>
  <si>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</si>
  <si>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</si>
  <si>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</si>
  <si>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</si>
  <si>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</si>
  <si>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</si>
  <si>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</si>
  <si>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</si>
  <si>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</si>
  <si>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</si>
  <si>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</si>
  <si>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</si>
  <si>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</si>
  <si>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</si>
  <si>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</si>
  <si>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</si>
  <si>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</si>
  <si>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</si>
  <si>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</si>
  <si>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</si>
  <si>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</si>
  <si>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</si>
  <si>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</si>
  <si>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</si>
  <si>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</si>
  <si>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</si>
  <si>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</si>
  <si>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</si>
  <si>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</si>
  <si>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</si>
  <si>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</si>
  <si>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</si>
  <si>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</si>
  <si>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</si>
  <si>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</si>
  <si>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</si>
  <si>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</si>
  <si>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</si>
  <si>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</si>
  <si>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</si>
  <si>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</si>
  <si>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</si>
  <si>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</si>
  <si>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</si>
  <si>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</si>
  <si>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</si>
  <si>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</si>
  <si>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</si>
  <si>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</si>
  <si>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</si>
  <si>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</si>
  <si>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</si>
  <si>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</si>
  <si>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</si>
  <si>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</si>
  <si>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</si>
  <si>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</si>
  <si>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</si>
  <si>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</si>
  <si>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</si>
  <si>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</si>
  <si>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</si>
  <si>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</si>
  <si>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</si>
  <si>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</si>
  <si>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</si>
  <si>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</si>
  <si>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</si>
  <si>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</si>
  <si>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</si>
  <si>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</si>
  <si>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</si>
  <si>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</si>
  <si>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</si>
  <si>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</si>
  <si>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</si>
  <si>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</si>
  <si>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</si>
  <si>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</si>
  <si>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</si>
  <si>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</si>
  <si>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</si>
  <si>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</si>
  <si>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</si>
  <si>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</si>
  <si>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</si>
  <si>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</si>
  <si>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</si>
  <si>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</si>
  <si>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</si>
  <si>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</si>
  <si>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</si>
  <si>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</si>
  <si>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</si>
  <si>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</si>
  <si>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</si>
  <si>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</si>
  <si>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</si>
  <si>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</si>
  <si>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</si>
  <si>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</si>
  <si>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</si>
  <si>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</si>
  <si>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</si>
  <si>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</si>
  <si>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</si>
  <si>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</si>
  <si>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</si>
  <si>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</si>
  <si>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</si>
  <si>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</si>
  <si>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</si>
  <si>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</si>
  <si>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</si>
  <si>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</si>
  <si>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</si>
  <si>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</si>
  <si>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</si>
  <si>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</si>
  <si>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</si>
  <si>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</si>
  <si>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</si>
  <si>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</si>
  <si>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</si>
  <si>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</si>
  <si>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</si>
  <si>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</si>
  <si>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</si>
  <si>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</si>
  <si>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</si>
  <si>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</si>
  <si>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</si>
  <si>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</si>
  <si>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</si>
  <si>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</si>
  <si>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</si>
  <si>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</si>
  <si>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</si>
  <si>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</si>
  <si>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</si>
  <si>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</si>
  <si>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</si>
  <si>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</si>
  <si>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</si>
  <si>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</si>
  <si>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</si>
  <si>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</si>
  <si>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</si>
  <si>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</si>
  <si>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</si>
  <si>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</si>
  <si>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</si>
  <si>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</si>
  <si>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</si>
  <si>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</si>
  <si>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</si>
  <si>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</si>
  <si>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</si>
  <si>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</si>
  <si>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</si>
  <si>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</si>
  <si>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</si>
  <si>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</si>
  <si>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</si>
  <si>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</si>
  <si>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</si>
  <si>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</si>
  <si>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</si>
  <si>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</si>
  <si>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</si>
  <si>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</si>
  <si>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</si>
  <si>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</si>
  <si>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</si>
  <si>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</si>
  <si>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</si>
  <si>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</si>
  <si>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</si>
  <si>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</si>
  <si>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</si>
  <si>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</si>
  <si>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</si>
  <si>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</si>
  <si>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</si>
  <si>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</si>
  <si>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</si>
  <si>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</si>
  <si>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</si>
  <si>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</si>
  <si>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</si>
  <si>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</si>
  <si>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</si>
  <si>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</si>
  <si>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</si>
  <si>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</si>
  <si>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</si>
  <si>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</si>
  <si>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</si>
  <si>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</si>
  <si>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</si>
  <si>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</si>
  <si>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</si>
  <si>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</si>
  <si>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</si>
  <si>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</si>
  <si>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</si>
  <si>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</si>
  <si>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</si>
  <si>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</si>
  <si>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</si>
  <si>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</si>
  <si>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</si>
  <si>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</si>
  <si>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</si>
  <si>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</si>
  <si>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</si>
  <si>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</si>
  <si>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</si>
  <si>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</si>
  <si>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</si>
  <si>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</si>
  <si>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</si>
  <si>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</si>
  <si>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</si>
  <si>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</si>
  <si>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</si>
  <si>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</si>
  <si>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</si>
  <si>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</si>
  <si>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</si>
  <si>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</si>
  <si>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</si>
  <si>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</si>
  <si>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</si>
  <si>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</si>
  <si>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</si>
  <si>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</si>
  <si>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</si>
  <si>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</si>
  <si>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</si>
  <si>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</si>
  <si>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</si>
  <si>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</si>
  <si>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</si>
  <si>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</si>
  <si>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</si>
  <si>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</si>
  <si>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</si>
  <si>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</si>
  <si>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</si>
  <si>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</si>
  <si>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</si>
  <si>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</si>
  <si>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</si>
  <si>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</si>
  <si>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</si>
  <si>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</si>
  <si>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</si>
  <si>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</si>
  <si>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</si>
  <si>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</si>
  <si>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</si>
  <si>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</si>
  <si>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</si>
  <si>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</si>
  <si>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</si>
  <si>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</si>
  <si>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</si>
  <si>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</si>
  <si>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</si>
  <si>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</si>
  <si>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</si>
  <si>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</si>
  <si>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</si>
  <si>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</si>
  <si>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</si>
  <si>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</si>
  <si>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</si>
  <si>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</si>
  <si>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</si>
  <si>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</si>
  <si>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</si>
  <si>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</si>
  <si>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</si>
  <si>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</si>
  <si>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</si>
  <si>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</si>
  <si>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</si>
  <si>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</si>
  <si>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</si>
  <si>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</si>
  <si>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</si>
  <si>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</si>
  <si>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</si>
  <si>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</si>
  <si>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</si>
  <si>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</si>
  <si>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</si>
  <si>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</si>
  <si>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</si>
  <si>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</si>
  <si>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</si>
  <si>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</si>
  <si>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</si>
  <si>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</si>
  <si>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</si>
  <si>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</si>
  <si>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</si>
  <si>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</si>
  <si>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</si>
  <si>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</si>
  <si>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</si>
  <si>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</si>
  <si>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</si>
  <si>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</si>
  <si>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</si>
  <si>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</si>
  <si>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</si>
  <si>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</si>
  <si>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</si>
  <si>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</si>
  <si>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</si>
  <si>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</si>
  <si>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</si>
  <si>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</si>
  <si>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</si>
  <si>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</si>
  <si>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</si>
  <si>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</si>
  <si>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</si>
  <si>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</si>
  <si>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</si>
  <si>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</si>
  <si>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</si>
  <si>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</si>
  <si>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</si>
  <si>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</si>
  <si>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</si>
  <si>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</si>
  <si>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</si>
  <si>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</si>
  <si>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</si>
  <si>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</si>
  <si>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</si>
  <si>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</si>
  <si>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</si>
  <si>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</si>
  <si>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</si>
  <si>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</si>
  <si>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</si>
  <si>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</si>
  <si>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</si>
  <si>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</si>
  <si>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</si>
  <si>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</si>
  <si>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</si>
  <si>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</si>
  <si>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</si>
  <si>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</si>
  <si>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</si>
  <si>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</si>
  <si>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</si>
  <si>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</si>
  <si>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</si>
  <si>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</si>
  <si>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</si>
  <si>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</si>
  <si>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</si>
  <si>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</si>
  <si>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</si>
  <si>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</si>
  <si>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</si>
  <si>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</si>
  <si>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</si>
  <si>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</si>
  <si>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</si>
  <si>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</si>
  <si>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</si>
  <si>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</si>
  <si>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</si>
  <si>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</si>
  <si>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</si>
  <si>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</si>
  <si>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</si>
  <si>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</si>
  <si>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</si>
  <si>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</si>
  <si>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</si>
  <si>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</si>
  <si>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</si>
  <si>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</si>
  <si>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</si>
  <si>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</si>
  <si>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</si>
  <si>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</si>
  <si>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</si>
  <si>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</si>
  <si>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</si>
  <si>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</si>
  <si>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</si>
  <si>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</si>
  <si>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</si>
  <si>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</si>
  <si>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</si>
  <si>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</si>
  <si>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</si>
  <si>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</si>
  <si>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</si>
  <si>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</si>
  <si>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</si>
  <si>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</si>
  <si>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</si>
  <si>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</si>
  <si>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</si>
  <si>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</si>
  <si>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</si>
  <si>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</si>
  <si>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</si>
  <si>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</si>
  <si>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</si>
  <si>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</si>
  <si>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</si>
  <si>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</si>
  <si>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</si>
  <si>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</si>
  <si>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</si>
  <si>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</si>
  <si>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</si>
  <si>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</si>
  <si>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</si>
  <si>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</si>
  <si>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</si>
  <si>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</si>
  <si>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</si>
  <si>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</si>
  <si>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</si>
  <si>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</si>
  <si>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</si>
  <si>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</si>
  <si>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</si>
  <si>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</si>
  <si>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</si>
  <si>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</si>
  <si>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</si>
  <si>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</si>
  <si>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</si>
  <si>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</si>
  <si>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</si>
  <si>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</si>
  <si>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</si>
  <si>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</si>
  <si>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</si>
  <si>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</si>
  <si>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</si>
  <si>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</si>
  <si>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</si>
  <si>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</si>
  <si>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</si>
  <si>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</si>
  <si>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</si>
  <si>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</si>
  <si>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</si>
  <si>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</si>
  <si>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</si>
  <si>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</si>
  <si>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</si>
  <si>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</si>
  <si>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</si>
  <si>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</si>
  <si>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</si>
  <si>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</si>
  <si>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</si>
  <si>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</si>
  <si>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</si>
  <si>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</si>
  <si>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</si>
  <si>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</si>
  <si>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</si>
  <si>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</si>
  <si>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</si>
  <si>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</si>
  <si>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</si>
  <si>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</si>
  <si>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</si>
  <si>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</si>
  <si>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</si>
  <si>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</si>
  <si>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</si>
  <si>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</si>
  <si>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</si>
  <si>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</si>
  <si>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</si>
  <si>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</si>
  <si>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</si>
  <si>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</si>
  <si>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</si>
  <si>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</si>
  <si>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</si>
  <si>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</si>
  <si>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</si>
  <si>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</si>
  <si>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</si>
  <si>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</si>
  <si>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</si>
  <si>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</si>
  <si>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</si>
  <si>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</si>
  <si>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</si>
  <si>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</si>
  <si>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</si>
  <si>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</si>
  <si>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</si>
  <si>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</si>
  <si>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</si>
  <si>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</si>
  <si>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</si>
  <si>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</si>
  <si>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</si>
  <si>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</si>
  <si>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</si>
  <si>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</si>
  <si>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</si>
  <si>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</si>
  <si>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</si>
  <si>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</si>
  <si>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</si>
  <si>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</si>
  <si>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</si>
  <si>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</si>
  <si>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</si>
  <si>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</si>
  <si>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</si>
  <si>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</si>
  <si>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</si>
  <si>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</si>
  <si>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</si>
  <si>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</si>
  <si>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</si>
  <si>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</si>
  <si>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</si>
  <si>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</si>
  <si>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</si>
  <si>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</si>
  <si>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</si>
  <si>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</si>
  <si>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</si>
  <si>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</si>
  <si>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</si>
  <si>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</si>
  <si>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</si>
  <si>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</si>
  <si>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</si>
  <si>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</si>
  <si>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</si>
  <si>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</si>
  <si>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</si>
  <si>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</si>
  <si>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</si>
  <si>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</si>
  <si>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</si>
  <si>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</si>
  <si>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</si>
  <si>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</si>
  <si>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</si>
  <si>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</si>
  <si>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</si>
  <si>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</si>
  <si>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</si>
  <si>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</si>
  <si>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</si>
  <si>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</si>
  <si>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</si>
  <si>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</si>
  <si>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</si>
  <si>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</si>
  <si>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</si>
  <si>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</si>
  <si>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</si>
  <si>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</si>
  <si>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</si>
  <si>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</si>
  <si>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</si>
  <si>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</si>
  <si>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</si>
  <si>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</si>
  <si>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</si>
  <si>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</si>
  <si>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</si>
  <si>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</si>
  <si>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</si>
  <si>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</si>
  <si>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</si>
  <si>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</si>
  <si>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</si>
  <si>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</si>
  <si>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</si>
  <si>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</si>
  <si>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</si>
  <si>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</si>
  <si>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</si>
  <si>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</si>
  <si>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</si>
  <si>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</si>
  <si>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</si>
  <si>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</si>
  <si>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</si>
  <si>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</si>
  <si>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</si>
  <si>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</si>
  <si>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</si>
  <si>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</si>
  <si>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</si>
  <si>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</si>
  <si>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</si>
  <si>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</si>
  <si>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</si>
  <si>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</si>
  <si>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</si>
  <si>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</si>
  <si>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</si>
  <si>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</si>
  <si>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</si>
  <si>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</si>
  <si>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</si>
  <si>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</si>
  <si>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</si>
  <si>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</si>
  <si>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</si>
  <si>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</si>
  <si>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</si>
  <si>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</si>
  <si>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</si>
  <si>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</si>
  <si>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</si>
  <si>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</si>
  <si>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</si>
  <si>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</si>
  <si>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</si>
  <si>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</si>
  <si>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</si>
  <si>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</si>
  <si>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</si>
  <si>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</si>
  <si>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</si>
  <si>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</si>
  <si>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</si>
  <si>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</si>
  <si>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</si>
  <si>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</si>
  <si>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</si>
  <si>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</si>
  <si>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</si>
  <si>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</si>
  <si>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</si>
  <si>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</si>
  <si>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</si>
  <si>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</si>
  <si>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</si>
  <si>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</si>
  <si>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</si>
  <si>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</si>
  <si>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</si>
  <si>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</si>
  <si>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</si>
  <si>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</si>
  <si>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</si>
  <si>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</si>
  <si>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</si>
  <si>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</si>
  <si>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</si>
  <si>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</si>
  <si>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</si>
  <si>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</si>
  <si>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</si>
  <si>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</si>
  <si>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</si>
  <si>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</si>
  <si>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</si>
  <si>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</si>
  <si>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</si>
  <si>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</si>
  <si>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</si>
  <si>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</si>
  <si>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</si>
  <si>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</si>
  <si>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</si>
  <si>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</si>
  <si>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</si>
  <si>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</si>
  <si>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</si>
  <si>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</si>
  <si>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</si>
  <si>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</si>
  <si>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</si>
  <si>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</si>
  <si>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</si>
  <si>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</si>
  <si>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</si>
  <si>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</si>
  <si>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</si>
  <si>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</si>
  <si>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</si>
  <si>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</si>
  <si>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</si>
  <si>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</si>
  <si>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</si>
  <si>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</si>
  <si>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</si>
  <si>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</si>
  <si>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</si>
  <si>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</si>
  <si>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</si>
  <si>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</si>
  <si>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</si>
  <si>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</si>
  <si>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</si>
  <si>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</si>
  <si>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</si>
  <si>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</si>
  <si>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</si>
  <si>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</si>
  <si>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</si>
  <si>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</si>
  <si>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</si>
  <si>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</si>
  <si>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</si>
  <si>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</si>
  <si>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</si>
  <si>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</si>
  <si>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</si>
  <si>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</si>
  <si>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</si>
  <si>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</si>
  <si>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</si>
  <si>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</si>
  <si>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</si>
  <si>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</si>
  <si>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</si>
  <si>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</si>
  <si>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</si>
  <si>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</si>
  <si>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</si>
  <si>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</si>
  <si>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</si>
  <si>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</si>
  <si>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</si>
  <si>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</si>
  <si>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</si>
  <si>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</si>
  <si>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</si>
  <si>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</si>
  <si>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</si>
  <si>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</si>
  <si>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</si>
  <si>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</si>
  <si>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</si>
  <si>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</si>
  <si>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</si>
  <si>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</si>
  <si>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</si>
  <si>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</si>
  <si>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</si>
  <si>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</si>
  <si>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</si>
  <si>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</si>
  <si>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</si>
  <si>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</si>
  <si>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</si>
  <si>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</si>
  <si>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</si>
  <si>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</si>
  <si>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</si>
  <si>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</si>
  <si>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</si>
  <si>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</si>
  <si>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</si>
  <si>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</si>
  <si>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</si>
  <si>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</si>
  <si>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</si>
  <si>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</si>
  <si>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</si>
  <si>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</si>
  <si>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</si>
  <si>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</si>
  <si>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</si>
  <si>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</si>
  <si>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</si>
  <si>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</si>
  <si>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</si>
  <si>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</si>
  <si>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</si>
  <si>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</si>
  <si>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</si>
  <si>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</si>
  <si>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</si>
  <si>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</si>
  <si>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</si>
  <si>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</si>
  <si>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</si>
  <si>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</si>
  <si>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</si>
  <si>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</si>
  <si>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</si>
  <si>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</si>
  <si>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</si>
  <si>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</si>
  <si>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</si>
  <si>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</si>
  <si>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</si>
  <si>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</si>
  <si>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</si>
  <si>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</si>
  <si>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</si>
  <si>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</si>
  <si>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</si>
  <si>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</si>
  <si>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</si>
  <si>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</si>
  <si>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</si>
  <si>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</si>
  <si>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</si>
  <si>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</si>
  <si>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</si>
  <si>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</si>
  <si>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</si>
  <si>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</si>
  <si>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</si>
  <si>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</si>
  <si>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</si>
  <si>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</si>
  <si>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</si>
  <si>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</si>
  <si>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</si>
  <si>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</si>
  <si>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</si>
  <si>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</si>
  <si>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</si>
  <si>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</si>
  <si>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</si>
  <si>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</si>
  <si>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</si>
  <si>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</si>
  <si>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</si>
  <si>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</si>
  <si>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</si>
  <si>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</si>
  <si>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</si>
  <si>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</si>
  <si>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</si>
  <si>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</si>
  <si>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</si>
  <si>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</si>
  <si>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</si>
  <si>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</si>
  <si>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</si>
  <si>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</si>
  <si>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</si>
  <si>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</si>
  <si>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</si>
  <si>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</si>
  <si>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</si>
  <si>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</si>
  <si>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</si>
  <si>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</si>
  <si>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</si>
  <si>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</si>
  <si>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</si>
  <si>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</si>
  <si>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</si>
  <si>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</si>
  <si>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</si>
  <si>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</si>
  <si>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</si>
  <si>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</si>
  <si>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</si>
  <si>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</si>
  <si>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</si>
  <si>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</si>
  <si>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</si>
  <si>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</si>
  <si>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</si>
  <si>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</si>
  <si>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</si>
  <si>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</si>
  <si>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</si>
  <si>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</si>
  <si>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</si>
  <si>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</si>
  <si>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</si>
  <si>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</si>
  <si>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</si>
  <si>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</si>
  <si>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</si>
  <si>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</si>
  <si>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</si>
  <si>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</si>
  <si>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</si>
  <si>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</si>
  <si>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</si>
  <si>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</si>
  <si>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</si>
  <si>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</si>
  <si>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</si>
  <si>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</si>
  <si>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</si>
  <si>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</si>
  <si>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</si>
  <si>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</si>
  <si>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</si>
  <si>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</si>
  <si>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</si>
  <si>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</si>
  <si>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</si>
  <si>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</si>
  <si>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</si>
  <si>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</si>
  <si>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</si>
  <si>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</si>
  <si>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</si>
  <si>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</si>
  <si>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</si>
  <si>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</si>
  <si>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</si>
  <si>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</si>
  <si>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</si>
  <si>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</si>
  <si>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</si>
  <si>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</si>
  <si>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</si>
  <si>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</si>
  <si>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</si>
  <si>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</si>
  <si>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</si>
  <si>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</si>
  <si>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</si>
  <si>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</si>
  <si>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</si>
  <si>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</si>
  <si>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</si>
  <si>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</si>
  <si>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</si>
  <si>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</si>
  <si>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</si>
  <si>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</si>
  <si>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</si>
  <si>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</si>
  <si>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</si>
  <si>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</si>
  <si>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</si>
  <si>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</si>
  <si>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</si>
  <si>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</si>
  <si>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</si>
  <si>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</si>
  <si>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</si>
  <si>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</si>
  <si>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</si>
  <si>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</si>
  <si>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</si>
  <si>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</si>
  <si>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</si>
  <si>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</si>
  <si>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</si>
  <si>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</si>
  <si>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</si>
  <si>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</si>
  <si>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</si>
  <si>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</si>
  <si>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</si>
  <si>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</si>
  <si>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</si>
  <si>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</si>
  <si>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</si>
  <si>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</si>
  <si>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</si>
  <si>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</si>
  <si>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</si>
  <si>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</si>
  <si>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</si>
  <si>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</si>
  <si>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</si>
  <si>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</si>
  <si>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</si>
  <si>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</si>
  <si>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</si>
  <si>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</si>
  <si>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</si>
  <si>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</si>
  <si>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</si>
  <si>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</si>
  <si>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</si>
  <si>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</si>
  <si>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</si>
  <si>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</si>
  <si>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</si>
  <si>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</si>
  <si>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</si>
  <si>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</si>
  <si>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</si>
  <si>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</si>
  <si>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</si>
  <si>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</si>
  <si>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</si>
  <si>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</si>
  <si>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</si>
  <si>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</si>
  <si>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</si>
  <si>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</si>
  <si>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</si>
  <si>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</si>
  <si>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</si>
  <si>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</si>
  <si>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</si>
  <si>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</si>
  <si>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</si>
  <si>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</si>
  <si>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</si>
  <si>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</si>
  <si>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</si>
  <si>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</si>
  <si>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</si>
  <si>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</si>
  <si>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</si>
  <si>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</si>
  <si>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</si>
  <si>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</si>
  <si>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</si>
  <si>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</si>
  <si>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</si>
  <si>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</si>
  <si>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</si>
  <si>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</si>
  <si>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</si>
  <si>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</si>
  <si>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</si>
  <si>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</si>
  <si>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</si>
  <si>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</si>
  <si>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</si>
  <si>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</si>
  <si>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</si>
  <si>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</si>
  <si>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</si>
  <si>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</si>
  <si>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</si>
  <si>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</si>
  <si>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</si>
  <si>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</si>
  <si>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</si>
  <si>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</si>
  <si>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</si>
  <si>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</si>
  <si>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</si>
  <si>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</si>
  <si>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</si>
  <si>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</si>
  <si>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</si>
  <si>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</si>
  <si>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</si>
  <si>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</si>
  <si>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</si>
  <si>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</si>
  <si>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</si>
  <si>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</si>
  <si>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</si>
  <si>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</si>
  <si>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</si>
  <si>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</si>
  <si>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</si>
  <si>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</si>
  <si>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</si>
  <si>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</si>
  <si>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</si>
  <si>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</si>
  <si>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</si>
  <si>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</si>
  <si>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</si>
  <si>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</si>
  <si>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</si>
  <si>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</si>
  <si>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</si>
  <si>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</si>
  <si>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</si>
  <si>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</si>
  <si>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</si>
  <si>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</si>
  <si>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</si>
  <si>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</si>
  <si>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</si>
  <si>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</si>
  <si>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</si>
  <si>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</si>
  <si>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</si>
  <si>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</si>
  <si>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</si>
  <si>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</si>
  <si>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</si>
  <si>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</si>
  <si>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</si>
  <si>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</si>
  <si>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</si>
  <si>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</si>
  <si>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</si>
  <si>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</si>
  <si>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</si>
  <si>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</si>
  <si>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</si>
  <si>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</si>
  <si>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</si>
  <si>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</si>
  <si>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</si>
  <si>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</si>
  <si>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</si>
  <si>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</si>
  <si>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</si>
  <si>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</si>
  <si>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</si>
  <si>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</si>
  <si>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</si>
  <si>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</si>
  <si>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</si>
  <si>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</si>
  <si>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</si>
  <si>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</si>
  <si>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</si>
  <si>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</si>
  <si>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</si>
  <si>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</si>
  <si>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</si>
  <si>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</si>
  <si>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</si>
  <si>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</si>
  <si>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</si>
  <si>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</si>
  <si>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</si>
  <si>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</si>
  <si>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</si>
  <si>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</si>
  <si>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</si>
  <si>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</si>
  <si>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</si>
  <si>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</si>
  <si>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</si>
  <si>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</si>
  <si>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</si>
  <si>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</si>
  <si>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</si>
  <si>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</si>
  <si>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</si>
  <si>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</si>
  <si>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</si>
  <si>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</si>
  <si>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</si>
  <si>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</si>
  <si>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</si>
  <si>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</si>
  <si>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</si>
  <si>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</si>
  <si>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</si>
  <si>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</si>
  <si>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</si>
  <si>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</si>
  <si>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</si>
  <si>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</si>
  <si>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</si>
  <si>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</si>
  <si>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</si>
  <si>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</si>
  <si>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</si>
  <si>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</si>
  <si>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</si>
  <si>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</si>
  <si>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</si>
  <si>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</si>
  <si>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</si>
  <si>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</si>
  <si>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</si>
  <si>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</si>
  <si>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</si>
  <si>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</si>
  <si>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</si>
  <si>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</si>
  <si>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</si>
  <si>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</si>
  <si>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</si>
  <si>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</si>
  <si>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</si>
  <si>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</si>
  <si>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</si>
  <si>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</si>
  <si>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</si>
  <si>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</si>
  <si>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</si>
  <si>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</si>
  <si>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</si>
  <si>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</si>
  <si>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</si>
  <si>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</si>
  <si>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</si>
  <si>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</si>
  <si>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</si>
  <si>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</si>
  <si>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</si>
  <si>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</si>
  <si>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</si>
  <si>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</si>
  <si>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</si>
  <si>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</si>
  <si>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</si>
  <si>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</si>
  <si>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</si>
  <si>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</si>
  <si>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</si>
  <si>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</si>
  <si>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</si>
  <si>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</si>
  <si>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</si>
  <si>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</si>
  <si>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</si>
  <si>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</si>
  <si>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</si>
  <si>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</si>
  <si>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</si>
  <si>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</si>
  <si>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</si>
  <si>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</si>
  <si>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</si>
  <si>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</si>
  <si>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</si>
  <si>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</si>
  <si>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</si>
  <si>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</si>
  <si>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</si>
  <si>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</si>
  <si>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</si>
  <si>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</si>
  <si>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</si>
  <si>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</si>
  <si>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</si>
  <si>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</si>
  <si>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</si>
  <si>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</si>
  <si>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</si>
  <si>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</si>
  <si>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</si>
  <si>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</si>
  <si>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</si>
  <si>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</si>
  <si>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</si>
  <si>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</si>
  <si>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</si>
  <si>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</si>
  <si>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</si>
  <si>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</si>
  <si>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</si>
  <si>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</si>
  <si>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</si>
  <si>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</si>
  <si>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</si>
  <si>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</si>
  <si>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</si>
  <si>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</si>
  <si>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</si>
  <si>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</si>
  <si>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</si>
  <si>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</si>
  <si>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</si>
  <si>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</si>
  <si>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</si>
  <si>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</si>
  <si>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</si>
  <si>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</si>
  <si>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</si>
  <si>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</si>
  <si>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</si>
  <si>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</si>
  <si>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</si>
  <si>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</si>
  <si>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</si>
  <si>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</si>
  <si>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</si>
  <si>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</si>
  <si>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</si>
  <si>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</si>
  <si>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</si>
  <si>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</si>
  <si>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</si>
  <si>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</si>
  <si>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</si>
  <si>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</si>
  <si>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</si>
  <si>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</si>
  <si>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</si>
  <si>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</si>
  <si>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</si>
  <si>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</si>
  <si>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</si>
  <si>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</si>
  <si>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</si>
  <si>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</si>
  <si>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</si>
  <si>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</si>
  <si>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</si>
  <si>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</si>
  <si>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</si>
  <si>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</si>
  <si>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</si>
  <si>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</si>
  <si>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</si>
  <si>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</si>
  <si>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</si>
  <si>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</si>
  <si>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</si>
  <si>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</si>
  <si>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</si>
  <si>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</si>
  <si>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</si>
  <si>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</si>
  <si>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</si>
  <si>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</si>
  <si>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</si>
  <si>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</si>
  <si>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</si>
  <si>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</si>
  <si>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</si>
  <si>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</si>
  <si>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</si>
  <si>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</si>
  <si>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</si>
  <si>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</si>
  <si>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</si>
  <si>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</si>
  <si>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</si>
  <si>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</si>
  <si>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</si>
  <si>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</si>
  <si>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</si>
  <si>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</si>
  <si>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</si>
  <si>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</si>
  <si>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</si>
  <si>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</si>
  <si>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</si>
  <si>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</si>
  <si>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</si>
  <si>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</si>
  <si>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</si>
  <si>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</si>
  <si>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</si>
  <si>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</si>
  <si>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</si>
  <si>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</si>
  <si>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</si>
  <si>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</si>
  <si>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</si>
  <si>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</si>
  <si>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</si>
  <si>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</si>
  <si>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</si>
  <si>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</si>
  <si>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</si>
  <si>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</si>
  <si>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</si>
  <si>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</si>
  <si>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</si>
  <si>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</si>
  <si>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</si>
  <si>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</si>
  <si>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</si>
  <si>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</si>
  <si>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</si>
  <si>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</si>
  <si>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</si>
  <si>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</si>
  <si>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</si>
  <si>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</si>
  <si>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</si>
  <si>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</si>
  <si>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</si>
  <si>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</si>
  <si>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</si>
  <si>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</si>
  <si>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</si>
  <si>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</si>
  <si>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</si>
  <si>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</si>
  <si>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</si>
  <si>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</si>
  <si>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</si>
  <si>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</si>
  <si>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</si>
  <si>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</si>
  <si>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</si>
  <si>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</si>
  <si>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</si>
  <si>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</si>
  <si>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</si>
  <si>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</si>
  <si>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</si>
  <si>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</si>
  <si>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</si>
  <si>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</si>
  <si>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</si>
  <si>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</si>
  <si>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</si>
  <si>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</si>
  <si>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</si>
  <si>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</si>
  <si>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</si>
  <si>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</si>
  <si>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</si>
  <si>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</si>
  <si>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</si>
  <si>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</si>
  <si>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</si>
  <si>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</si>
  <si>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</si>
  <si>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</si>
  <si>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</si>
  <si>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</si>
  <si>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</si>
  <si>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</si>
  <si>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</si>
  <si>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</si>
  <si>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</si>
  <si>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</si>
  <si>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</si>
  <si>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</si>
  <si>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</si>
  <si>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</si>
  <si>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</si>
  <si>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</si>
  <si>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</si>
  <si>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</si>
  <si>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</si>
  <si>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</si>
  <si>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</si>
  <si>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</si>
  <si>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</si>
  <si>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</si>
  <si>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</si>
  <si>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</si>
  <si>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</si>
  <si>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</si>
  <si>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</si>
  <si>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</si>
  <si>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</si>
  <si>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</si>
  <si>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</si>
  <si>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</si>
  <si>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</si>
  <si>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</si>
  <si>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</si>
  <si>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</si>
  <si>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</si>
  <si>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</si>
  <si>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</si>
  <si>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</si>
  <si>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</si>
  <si>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</si>
  <si>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</si>
  <si>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</si>
  <si>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</si>
  <si>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</si>
  <si>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</si>
  <si>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</si>
  <si>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</si>
  <si>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</si>
  <si>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</si>
  <si>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</si>
  <si>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</si>
  <si>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</si>
  <si>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</si>
  <si>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</si>
  <si>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</si>
  <si>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</si>
  <si>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</si>
  <si>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</si>
  <si>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</si>
  <si>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</si>
  <si>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</si>
  <si>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</si>
  <si>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</si>
  <si>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</si>
  <si>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</si>
  <si>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</si>
  <si>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</si>
  <si>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</si>
  <si>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</si>
  <si>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</si>
  <si>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</si>
  <si>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</si>
  <si>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</si>
  <si>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</si>
  <si>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</si>
  <si>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</si>
  <si>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</si>
  <si>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</si>
  <si>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</si>
  <si>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</si>
  <si>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</si>
  <si>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</si>
  <si>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</si>
  <si>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</si>
  <si>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</si>
  <si>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</si>
  <si>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</si>
  <si>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</si>
  <si>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</si>
  <si>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</si>
  <si>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</si>
  <si>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</si>
  <si>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</si>
  <si>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</si>
  <si>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</si>
  <si>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</si>
  <si>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</si>
  <si>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</si>
  <si>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</si>
  <si>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</si>
  <si>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</si>
  <si>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</si>
  <si>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</si>
  <si>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</si>
  <si>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</si>
  <si>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</si>
  <si>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</si>
  <si>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</si>
  <si>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</si>
  <si>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</si>
  <si>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</si>
  <si>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</si>
  <si>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</si>
  <si>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</si>
  <si>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</si>
  <si>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</si>
  <si>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</si>
  <si>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</si>
  <si>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</si>
  <si>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</si>
  <si>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</si>
  <si>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</si>
  <si>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</si>
  <si>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</si>
  <si>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</si>
  <si>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</si>
  <si>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</si>
  <si>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</si>
  <si>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</si>
  <si>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</si>
  <si>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</si>
  <si>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</si>
  <si>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</si>
  <si>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</si>
  <si>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</si>
  <si>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</si>
  <si>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</si>
  <si>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</si>
  <si>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</si>
  <si>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</si>
  <si>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</si>
  <si>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</si>
  <si>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</si>
  <si>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</si>
  <si>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</si>
  <si>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</si>
  <si>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</si>
  <si>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</si>
  <si>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</si>
  <si>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</si>
  <si>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</si>
  <si>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</si>
  <si>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</si>
  <si>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</si>
  <si>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</si>
  <si>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</si>
  <si>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</si>
  <si>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</si>
  <si>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</si>
  <si>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</si>
  <si>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</si>
  <si>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</si>
  <si>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</si>
  <si>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</si>
  <si>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</si>
  <si>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</si>
  <si>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</si>
  <si>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</si>
  <si>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</si>
  <si>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</si>
  <si>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</si>
  <si>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</si>
  <si>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</si>
  <si>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</si>
  <si>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</si>
  <si>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</si>
  <si>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</si>
  <si>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</si>
  <si>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</si>
  <si>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</si>
  <si>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</si>
  <si>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</si>
  <si>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</si>
  <si>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</si>
  <si>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</si>
  <si>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</si>
  <si>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</si>
  <si>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</si>
  <si>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</si>
  <si>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</si>
  <si>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</si>
  <si>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</si>
  <si>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</si>
  <si>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</si>
  <si>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</si>
  <si>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</si>
  <si>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</si>
  <si>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</si>
  <si>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</si>
  <si>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</si>
  <si>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</si>
  <si>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</si>
  <si>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</si>
  <si>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</si>
  <si>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</si>
  <si>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</si>
  <si>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</si>
  <si>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</si>
  <si>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</si>
  <si>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</si>
  <si>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</si>
  <si>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</si>
  <si>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</si>
  <si>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</si>
  <si>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</si>
  <si>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</si>
  <si>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</si>
  <si>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</si>
  <si>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</si>
  <si>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</si>
  <si>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</si>
  <si>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</si>
  <si>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</si>
  <si>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</si>
  <si>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</si>
  <si>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</si>
  <si>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</si>
  <si>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</si>
  <si>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</si>
  <si>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</si>
  <si>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</si>
  <si>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</si>
  <si>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</si>
  <si>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</si>
  <si>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</si>
  <si>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</si>
  <si>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</si>
  <si>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</si>
  <si>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</si>
  <si>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</si>
  <si>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</si>
  <si>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</si>
  <si>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</si>
  <si>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</si>
  <si>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</si>
  <si>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</si>
  <si>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</si>
  <si>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</si>
  <si>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</si>
  <si>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</si>
  <si>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</si>
  <si>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</si>
  <si>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</si>
  <si>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</si>
  <si>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</si>
  <si>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</si>
  <si>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</si>
  <si>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</si>
  <si>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</si>
  <si>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</si>
  <si>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</si>
  <si>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</si>
  <si>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</si>
  <si>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</si>
  <si>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</si>
  <si>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</si>
  <si>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</si>
  <si>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</si>
  <si>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</si>
  <si>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</si>
  <si>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</si>
  <si>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</si>
  <si>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</si>
  <si>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</si>
  <si>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</si>
  <si>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</si>
  <si>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</si>
  <si>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</si>
  <si>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</si>
  <si>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</si>
  <si>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</si>
  <si>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</si>
  <si>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</si>
  <si>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</si>
  <si>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</si>
  <si>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</si>
  <si>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</si>
  <si>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</si>
  <si>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</si>
  <si>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</si>
  <si>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</si>
  <si>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</si>
  <si>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</si>
  <si>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</si>
  <si>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</si>
  <si>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</si>
  <si>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</si>
  <si>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</si>
  <si>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</si>
  <si>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</si>
  <si>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</si>
  <si>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</si>
  <si>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</si>
  <si>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</si>
  <si>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</si>
  <si>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</si>
  <si>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</si>
  <si>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</si>
  <si>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</si>
  <si>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</si>
  <si>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</si>
  <si>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</si>
  <si>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</si>
  <si>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</si>
  <si>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</si>
  <si>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</si>
  <si>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</si>
  <si>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</si>
  <si>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</si>
  <si>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</si>
  <si>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</si>
  <si>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</si>
  <si>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</si>
  <si>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</si>
  <si>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</si>
  <si>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</si>
  <si>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</si>
  <si>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</si>
  <si>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</si>
  <si>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</si>
  <si>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</si>
  <si>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</si>
  <si>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</si>
  <si>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</si>
  <si>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</si>
  <si>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</si>
  <si>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</si>
  <si>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</si>
  <si>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</si>
  <si>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</si>
  <si>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</si>
  <si>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</si>
  <si>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</si>
  <si>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</si>
  <si>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</si>
  <si>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</si>
  <si>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</si>
  <si>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</si>
  <si>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</si>
  <si>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</si>
  <si>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</si>
  <si>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</si>
  <si>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</si>
  <si>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</si>
  <si>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</si>
  <si>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</si>
  <si>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</si>
  <si>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</si>
  <si>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</si>
  <si>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</si>
  <si>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</si>
  <si>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</si>
  <si>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</si>
  <si>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</si>
  <si>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</si>
  <si>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</si>
  <si>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</si>
  <si>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</si>
  <si>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</si>
  <si>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</si>
  <si>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</si>
  <si>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</si>
  <si>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</si>
  <si>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</si>
  <si>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</si>
  <si>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</si>
  <si>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</si>
  <si>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</si>
  <si>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</si>
  <si>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</si>
  <si>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</si>
  <si>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</si>
  <si>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</si>
  <si>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</si>
  <si>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</si>
  <si>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</si>
  <si>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</si>
  <si>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</si>
  <si>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</si>
  <si>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</si>
  <si>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</si>
  <si>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</si>
  <si>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</si>
  <si>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</si>
  <si>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</si>
  <si>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</si>
  <si>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</si>
  <si>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</si>
  <si>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</si>
  <si>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</si>
  <si>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</si>
  <si>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</si>
  <si>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</si>
  <si>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</si>
  <si>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</si>
  <si>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</si>
  <si>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</si>
  <si>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</si>
  <si>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</si>
  <si>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</si>
  <si>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</si>
  <si>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</si>
  <si>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</si>
  <si>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</si>
  <si>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</si>
  <si>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</si>
  <si>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</si>
  <si>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</si>
  <si>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</si>
  <si>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</si>
  <si>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</si>
  <si>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</si>
  <si>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</si>
  <si>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</si>
  <si>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</si>
  <si>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</si>
  <si>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</si>
  <si>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</si>
  <si>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</si>
  <si>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</si>
  <si>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</si>
  <si>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</si>
  <si>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</si>
  <si>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</si>
  <si>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</si>
  <si>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</si>
  <si>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</si>
  <si>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</si>
  <si>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</si>
  <si>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</si>
  <si>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</si>
  <si>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</si>
  <si>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</si>
  <si>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</si>
  <si>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</si>
  <si>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</si>
  <si>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</si>
  <si>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</si>
  <si>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</si>
  <si>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</si>
  <si>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</si>
  <si>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</si>
  <si>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</si>
  <si>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</si>
  <si>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</si>
  <si>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</si>
  <si>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</si>
  <si>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</si>
  <si>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</si>
  <si>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</si>
  <si>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</si>
  <si>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</si>
  <si>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</si>
  <si>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</si>
  <si>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</si>
  <si>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</si>
  <si>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</si>
  <si>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</si>
  <si>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</si>
  <si>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</si>
  <si>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</si>
  <si>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</si>
  <si>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</si>
  <si>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</si>
  <si>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</si>
  <si>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</si>
  <si>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</si>
  <si>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</si>
  <si>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</si>
  <si>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</si>
  <si>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</si>
  <si>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</si>
  <si>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</si>
  <si>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</si>
  <si>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</si>
  <si>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</si>
  <si>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</si>
  <si>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</si>
  <si>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</si>
  <si>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</si>
  <si>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</si>
  <si>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</si>
  <si>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</si>
  <si>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</si>
  <si>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</si>
  <si>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</si>
  <si>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</si>
  <si>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</si>
  <si>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</si>
  <si>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</si>
  <si>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</si>
  <si>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</si>
  <si>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</si>
  <si>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</si>
  <si>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</si>
  <si>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</si>
  <si>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</si>
  <si>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</si>
  <si>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</si>
  <si>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</si>
  <si>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</si>
  <si>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</si>
  <si>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</si>
  <si>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</si>
  <si>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</si>
  <si>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</si>
  <si>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</si>
  <si>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</si>
  <si>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</si>
  <si>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</si>
  <si>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</si>
  <si>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</si>
  <si>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</si>
  <si>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</si>
  <si>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</si>
  <si>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</si>
  <si>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</si>
  <si>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</si>
  <si>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</si>
  <si>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</si>
  <si>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</si>
  <si>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</si>
  <si>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</si>
  <si>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</si>
  <si>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</si>
  <si>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</si>
  <si>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</si>
  <si>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</si>
  <si>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</si>
  <si>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</si>
  <si>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</si>
  <si>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</si>
  <si>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</si>
  <si>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</si>
  <si>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</si>
  <si>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</si>
  <si>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</si>
  <si>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</si>
  <si>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</si>
  <si>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</si>
  <si>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</si>
  <si>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</si>
  <si>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</si>
  <si>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</si>
  <si>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</si>
  <si>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</si>
  <si>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</si>
  <si>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</si>
  <si>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</si>
  <si>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</si>
  <si>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</si>
  <si>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</si>
  <si>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</si>
  <si>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</si>
  <si>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</si>
  <si>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</si>
  <si>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</si>
  <si>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</si>
  <si>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</si>
  <si>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</si>
  <si>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</si>
  <si>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</si>
  <si>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</si>
  <si>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</si>
  <si>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</si>
  <si>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</si>
  <si>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</si>
  <si>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</si>
  <si>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</si>
  <si>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</si>
  <si>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</si>
  <si>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</si>
  <si>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</si>
  <si>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</si>
  <si>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</si>
  <si>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</si>
  <si>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</si>
  <si>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</si>
  <si>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</si>
  <si>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</si>
  <si>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</si>
  <si>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</si>
  <si>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</si>
  <si>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</si>
  <si>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</si>
  <si>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</si>
  <si>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</si>
  <si>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</si>
  <si>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</si>
  <si>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</si>
  <si>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</si>
  <si>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</si>
  <si>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</si>
  <si>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</si>
  <si>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</si>
  <si>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</si>
  <si>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</si>
  <si>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</si>
  <si>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</si>
  <si>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</si>
  <si>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</si>
  <si>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</si>
  <si>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</si>
  <si>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</si>
  <si>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</si>
  <si>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</si>
  <si>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</si>
  <si>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</si>
  <si>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</si>
  <si>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</si>
  <si>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</si>
  <si>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</si>
  <si>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</si>
  <si>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</si>
  <si>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</si>
  <si>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</si>
  <si>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</si>
  <si>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</si>
  <si>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</si>
  <si>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</si>
  <si>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</si>
  <si>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</si>
  <si>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</si>
  <si>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</si>
  <si>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</si>
  <si>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</si>
  <si>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</si>
  <si>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</si>
  <si>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</si>
  <si>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</si>
  <si>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</si>
  <si>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</si>
  <si>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</si>
  <si>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</si>
  <si>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</si>
  <si>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</si>
  <si>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</si>
  <si>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</si>
  <si>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</si>
  <si>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</si>
  <si>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</si>
  <si>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</si>
  <si>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</si>
  <si>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</si>
  <si>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</si>
  <si>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</si>
  <si>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</si>
  <si>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</si>
  <si>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</si>
  <si>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</si>
  <si>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</si>
  <si>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</si>
  <si>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</si>
  <si>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</si>
  <si>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</si>
  <si>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</si>
  <si>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</si>
  <si>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</si>
  <si>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</si>
  <si>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</si>
  <si>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</si>
  <si>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</si>
  <si>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</si>
  <si>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</si>
  <si>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</si>
  <si>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</si>
  <si>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</si>
  <si>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</si>
  <si>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</si>
  <si>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</si>
  <si>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</si>
  <si>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</si>
  <si>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</si>
  <si>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</si>
  <si>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</si>
  <si>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</si>
  <si>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</si>
  <si>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</si>
  <si>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</si>
  <si>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</si>
  <si>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</si>
  <si>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</si>
  <si>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</si>
  <si>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</si>
  <si>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</si>
  <si>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</si>
  <si>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</si>
  <si>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</si>
  <si>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</si>
  <si>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</si>
  <si>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</si>
  <si>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</si>
  <si>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</si>
  <si>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</si>
  <si>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</si>
  <si>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</si>
  <si>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</si>
  <si>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</si>
  <si>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</si>
  <si>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</si>
  <si>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</si>
  <si>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</si>
  <si>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</si>
  <si>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</si>
  <si>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</si>
  <si>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</si>
  <si>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</si>
  <si>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</si>
  <si>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</si>
  <si>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</si>
  <si>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</si>
  <si>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</si>
  <si>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</si>
  <si>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</si>
  <si>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</si>
  <si>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</si>
  <si>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</si>
  <si>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</si>
  <si>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</si>
  <si>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</si>
  <si>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</si>
  <si>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</si>
  <si>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</si>
  <si>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</si>
  <si>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</si>
  <si>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</si>
  <si>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</si>
  <si>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</si>
  <si>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</si>
  <si>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</si>
  <si>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</si>
  <si>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</si>
  <si>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</si>
  <si>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</si>
  <si>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</si>
  <si>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</si>
  <si>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</si>
  <si>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</si>
  <si>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</si>
  <si>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</si>
  <si>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</si>
  <si>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</si>
  <si>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</si>
  <si>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</si>
  <si>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</si>
  <si>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</si>
  <si>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</si>
  <si>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</si>
  <si>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</si>
  <si>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</si>
  <si>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</si>
  <si>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</si>
  <si>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</si>
  <si>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</si>
  <si>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</si>
  <si>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</si>
  <si>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</si>
  <si>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</si>
  <si>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</si>
  <si>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</si>
  <si>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</si>
  <si>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</si>
  <si>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</si>
  <si>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</si>
  <si>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</si>
  <si>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</si>
  <si>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</si>
  <si>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</si>
  <si>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</si>
  <si>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</si>
  <si>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</si>
  <si>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</si>
  <si>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</si>
  <si>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</si>
  <si>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</si>
  <si>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</si>
  <si>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</si>
  <si>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</si>
  <si>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</si>
  <si>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</si>
  <si>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</si>
  <si>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</si>
  <si>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</si>
  <si>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</si>
  <si>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</si>
  <si>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</si>
  <si>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</si>
  <si>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</si>
  <si>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</si>
  <si>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</si>
  <si>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</si>
  <si>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</si>
  <si>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</si>
  <si>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</si>
  <si>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</si>
  <si>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</si>
  <si>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</si>
  <si>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</si>
  <si>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</si>
  <si>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</si>
  <si>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</si>
  <si>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</si>
  <si>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</si>
  <si>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</si>
  <si>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</si>
  <si>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</si>
  <si>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</si>
  <si>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</si>
  <si>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</si>
  <si>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</si>
  <si>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</si>
  <si>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</si>
  <si>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</si>
  <si>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</si>
  <si>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</si>
  <si>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</si>
  <si>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</si>
  <si>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</si>
  <si>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</si>
  <si>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</si>
  <si>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</si>
  <si>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</si>
  <si>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</si>
  <si>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</si>
  <si>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</si>
  <si>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</si>
  <si>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</si>
  <si>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</si>
  <si>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</si>
  <si>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</si>
  <si>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</si>
  <si>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</si>
  <si>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</si>
  <si>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</si>
  <si>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</si>
  <si>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</si>
  <si>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</si>
  <si>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</si>
  <si>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</si>
  <si>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</si>
  <si>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</si>
  <si>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</si>
  <si>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</si>
  <si>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</si>
  <si>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</si>
  <si>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</si>
  <si>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</si>
  <si>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</si>
  <si>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</si>
  <si>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</si>
  <si>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</si>
  <si>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</si>
  <si>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</si>
  <si>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</si>
  <si>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</si>
  <si>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</si>
  <si>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</si>
  <si>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</si>
  <si>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</si>
  <si>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</si>
  <si>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</si>
  <si>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</si>
  <si>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</si>
  <si>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</si>
  <si>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</si>
  <si>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</si>
  <si>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</si>
  <si>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</si>
  <si>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</si>
  <si>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</si>
  <si>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</si>
  <si>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</si>
  <si>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</si>
  <si>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</si>
  <si>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</si>
  <si>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</si>
  <si>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</si>
  <si>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</si>
  <si>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</si>
  <si>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</si>
  <si>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</si>
  <si>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</si>
  <si>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</si>
  <si>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</si>
  <si>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</si>
  <si>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</si>
  <si>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</si>
  <si>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</si>
  <si>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</si>
  <si>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</si>
  <si>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</si>
  <si>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</si>
  <si>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</si>
  <si>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</si>
  <si>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</si>
  <si>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</si>
  <si>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</si>
  <si>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</si>
  <si>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</si>
  <si>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</si>
  <si>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</si>
  <si>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</si>
  <si>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</si>
  <si>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</si>
  <si>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</si>
  <si>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</si>
  <si>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</si>
  <si>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</si>
  <si>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</si>
  <si>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</si>
  <si>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</si>
  <si>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</si>
  <si>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</si>
  <si>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</si>
  <si>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</si>
  <si>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</si>
  <si>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</si>
  <si>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</si>
  <si>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</si>
  <si>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</si>
  <si>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</si>
  <si>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</si>
  <si>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</si>
  <si>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</si>
  <si>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</si>
  <si>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</si>
  <si>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</si>
  <si>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</si>
  <si>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</si>
  <si>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</si>
  <si>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</si>
  <si>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</si>
  <si>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</si>
  <si>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</si>
  <si>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</si>
  <si>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</si>
  <si>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</si>
  <si>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</si>
  <si>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</si>
  <si>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</si>
  <si>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</si>
  <si>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</si>
  <si>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</si>
  <si>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</si>
  <si>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</si>
  <si>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</si>
  <si>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</si>
  <si>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</si>
  <si>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</si>
  <si>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</si>
  <si>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</si>
  <si>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</si>
  <si>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</si>
  <si>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</si>
  <si>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</si>
  <si>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</si>
  <si>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</si>
  <si>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</si>
  <si>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</si>
  <si>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</si>
  <si>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</si>
  <si>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</si>
  <si>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</si>
  <si>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</si>
  <si>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</si>
  <si>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</si>
  <si>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</si>
  <si>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</si>
  <si>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</si>
  <si>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</si>
  <si>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</si>
  <si>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</si>
  <si>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</si>
  <si>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</si>
  <si>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</si>
  <si>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</si>
  <si>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</si>
  <si>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</si>
  <si>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</si>
  <si>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</si>
  <si>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</si>
  <si>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</si>
  <si>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</si>
  <si>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</si>
  <si>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</si>
  <si>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</si>
  <si>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</si>
  <si>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</si>
  <si>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</si>
  <si>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</si>
  <si>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</si>
  <si>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</si>
  <si>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</si>
  <si>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</si>
  <si>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</si>
  <si>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</si>
  <si>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</si>
  <si>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</si>
  <si>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</si>
  <si>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</si>
  <si>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</si>
  <si>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</si>
  <si>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</si>
  <si>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</si>
  <si>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</si>
  <si>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</si>
  <si>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</si>
  <si>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</si>
  <si>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</si>
  <si>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</si>
  <si>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</si>
  <si>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</si>
  <si>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</si>
  <si>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</si>
  <si>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</si>
  <si>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</si>
  <si>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</si>
  <si>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</si>
  <si>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</si>
  <si>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</si>
  <si>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</si>
  <si>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</si>
  <si>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</si>
  <si>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</si>
  <si>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</si>
  <si>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</si>
  <si>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</si>
  <si>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</si>
  <si>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</si>
  <si>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</si>
  <si>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</si>
  <si>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</si>
  <si>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</si>
  <si>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</si>
  <si>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</si>
  <si>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</si>
  <si>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</si>
  <si>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</si>
  <si>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</si>
  <si>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</si>
  <si>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</si>
  <si>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</si>
  <si>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</si>
  <si>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</si>
  <si>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</si>
  <si>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</si>
  <si>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</si>
  <si>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</si>
  <si>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</si>
  <si>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</si>
  <si>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</si>
  <si>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</si>
  <si>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</si>
  <si>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</si>
  <si>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</si>
  <si>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</si>
  <si>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</si>
  <si>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</si>
  <si>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</si>
  <si>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</si>
  <si>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</si>
  <si>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</si>
  <si>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</si>
  <si>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</si>
  <si>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</si>
  <si>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</si>
  <si>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</si>
  <si>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</si>
  <si>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</si>
  <si>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</si>
  <si>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</si>
  <si>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</si>
  <si>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</si>
  <si>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</si>
  <si>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</si>
  <si>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</si>
  <si>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</si>
  <si>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</si>
  <si>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</si>
  <si>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</si>
  <si>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</si>
  <si>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</si>
  <si>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</si>
  <si>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</si>
  <si>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</si>
  <si>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</si>
  <si>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</si>
  <si>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</si>
  <si>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</si>
  <si>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</si>
  <si>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</si>
  <si>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</si>
  <si>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</si>
  <si>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</si>
  <si>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</si>
  <si>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</si>
  <si>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</si>
  <si>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</si>
  <si>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</si>
  <si>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</si>
  <si>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</si>
  <si>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</si>
  <si>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</si>
  <si>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</si>
  <si>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</si>
  <si>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</si>
  <si>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</si>
  <si>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</si>
  <si>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</si>
  <si>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</si>
  <si>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</si>
  <si>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</si>
  <si>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</si>
  <si>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</si>
  <si>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</si>
  <si>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</si>
  <si>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</si>
  <si>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</si>
  <si>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</si>
  <si>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</si>
  <si>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</si>
  <si>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</si>
  <si>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</si>
  <si>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</si>
  <si>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</si>
  <si>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</si>
  <si>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</si>
  <si>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</si>
  <si>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</si>
  <si>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</si>
  <si>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</si>
  <si>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</si>
  <si>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</si>
  <si>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</si>
  <si>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</si>
  <si>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</si>
  <si>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</si>
  <si>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</si>
  <si>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</si>
  <si>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</si>
  <si>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</si>
  <si>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</si>
  <si>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</si>
  <si>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</si>
  <si>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</si>
  <si>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</si>
  <si>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</si>
  <si>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</si>
  <si>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</si>
  <si>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</si>
  <si>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</si>
  <si>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</si>
  <si>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</si>
  <si>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</si>
  <si>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</si>
  <si>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</si>
  <si>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</si>
  <si>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</si>
  <si>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</si>
  <si>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</si>
  <si>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</si>
  <si>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</si>
  <si>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</si>
  <si>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</si>
  <si>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</si>
  <si>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</si>
  <si>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</si>
  <si>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</si>
  <si>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</si>
  <si>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</si>
  <si>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</si>
  <si>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</si>
  <si>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</si>
  <si>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</si>
  <si>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</si>
  <si>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</si>
  <si>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</si>
  <si>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</si>
  <si>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</si>
  <si>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</si>
  <si>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</si>
  <si>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</si>
  <si>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</si>
  <si>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</si>
  <si>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</si>
  <si>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</si>
  <si>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</si>
  <si>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</si>
  <si>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</si>
  <si>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</si>
  <si>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</si>
  <si>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</si>
  <si>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</si>
  <si>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</si>
  <si>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</si>
  <si>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</si>
  <si>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</si>
  <si>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</si>
  <si>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</si>
  <si>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</si>
  <si>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</si>
  <si>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</si>
  <si>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</si>
  <si>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</si>
  <si>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</si>
  <si>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</si>
  <si>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</si>
  <si>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</si>
  <si>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</si>
  <si>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</si>
  <si>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</si>
  <si>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</si>
  <si>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</si>
  <si>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</si>
  <si>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</si>
  <si>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</si>
  <si>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</si>
  <si>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</si>
  <si>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</si>
  <si>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</si>
  <si>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</si>
  <si>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</si>
  <si>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</si>
  <si>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</si>
  <si>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</si>
  <si>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</si>
  <si>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</si>
  <si>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</si>
  <si>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</si>
  <si>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</si>
  <si>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</si>
  <si>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</si>
  <si>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</si>
  <si>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</si>
  <si>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</si>
  <si>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</si>
  <si>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</si>
  <si>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</si>
  <si>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</si>
  <si>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</si>
  <si>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</si>
  <si>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</si>
  <si>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</si>
  <si>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</si>
  <si>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</si>
  <si>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</si>
  <si>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</si>
  <si>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</si>
  <si>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</si>
  <si>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</si>
  <si>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</si>
  <si>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</si>
  <si>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</si>
  <si>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</si>
  <si>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</si>
  <si>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</si>
  <si>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</si>
  <si>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</si>
  <si>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</si>
  <si>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</si>
  <si>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</si>
  <si>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</si>
  <si>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</si>
  <si>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</si>
  <si>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</si>
  <si>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</si>
  <si>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</si>
  <si>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</si>
  <si>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</si>
  <si>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</si>
  <si>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</si>
  <si>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</si>
  <si>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</si>
  <si>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</si>
  <si>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</si>
  <si>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</si>
  <si>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</si>
  <si>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</si>
  <si>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</si>
  <si>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</si>
  <si>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</si>
  <si>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</si>
  <si>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</si>
  <si>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</si>
  <si>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</si>
  <si>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</si>
  <si>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</si>
  <si>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</si>
  <si>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</si>
  <si>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</si>
  <si>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</si>
  <si>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</si>
  <si>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</si>
  <si>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</si>
  <si>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</si>
  <si>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</si>
  <si>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</si>
  <si>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</si>
  <si>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</si>
  <si>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</si>
  <si>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</si>
  <si>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</si>
  <si>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</si>
  <si>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</si>
  <si>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</si>
  <si>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</si>
  <si>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</si>
  <si>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</si>
  <si>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</si>
  <si>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</si>
  <si>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</si>
  <si>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</si>
  <si>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</si>
  <si>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</si>
  <si>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</si>
  <si>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</si>
  <si>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</si>
  <si>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</si>
  <si>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</si>
  <si>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</si>
  <si>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</si>
  <si>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</si>
  <si>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</si>
  <si>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</si>
  <si>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</si>
  <si>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</si>
  <si>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</si>
  <si>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</si>
  <si>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</si>
  <si>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</si>
  <si>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</si>
  <si>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</si>
  <si>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</si>
  <si>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</si>
  <si>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</si>
  <si>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</si>
  <si>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</si>
  <si>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</si>
  <si>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</si>
  <si>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</si>
  <si>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</si>
  <si>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</si>
  <si>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</si>
  <si>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</si>
  <si>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</si>
  <si>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</si>
  <si>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</si>
  <si>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</si>
  <si>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</si>
  <si>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</si>
  <si>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</si>
  <si>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</si>
  <si>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</si>
  <si>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</si>
  <si>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</si>
  <si>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</si>
  <si>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</si>
  <si>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</si>
  <si>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</si>
  <si>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</si>
  <si>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</si>
  <si>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</si>
  <si>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</si>
  <si>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</si>
  <si>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</si>
  <si>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</si>
  <si>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</si>
  <si>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</si>
  <si>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</si>
  <si>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</si>
  <si>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</si>
  <si>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</si>
  <si>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</si>
  <si>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</si>
  <si>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</si>
  <si>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</si>
  <si>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</si>
  <si>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</si>
  <si>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</si>
  <si>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</si>
  <si>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</si>
  <si>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</si>
  <si>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</si>
  <si>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</si>
  <si>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</si>
  <si>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</si>
  <si>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</si>
  <si>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</si>
  <si>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</si>
  <si>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</si>
  <si>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</si>
  <si>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</si>
  <si>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</si>
  <si>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</si>
  <si>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</si>
  <si>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</si>
  <si>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</si>
  <si>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</si>
  <si>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</si>
  <si>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</si>
  <si>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</si>
  <si>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</si>
  <si>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</si>
  <si>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</si>
  <si>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</si>
  <si>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</si>
  <si>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</si>
  <si>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</si>
  <si>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</si>
  <si>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</si>
  <si>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</si>
  <si>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</si>
  <si>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</si>
  <si>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</si>
  <si>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</si>
  <si>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</si>
  <si>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</si>
  <si>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</si>
  <si>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</si>
  <si>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</si>
  <si>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</si>
  <si>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</si>
  <si>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</si>
  <si>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</si>
  <si>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</si>
  <si>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</si>
  <si>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</si>
  <si>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</si>
  <si>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</si>
  <si>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</si>
  <si>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</si>
  <si>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</si>
  <si>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</si>
  <si>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</si>
  <si>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</si>
  <si>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</si>
  <si>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</si>
  <si>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</si>
  <si>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</si>
  <si>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</si>
  <si>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</si>
  <si>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</si>
  <si>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</si>
  <si>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</si>
  <si>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</si>
  <si>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</si>
  <si>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</si>
  <si>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</si>
  <si>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</si>
  <si>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</si>
  <si>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</si>
  <si>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</si>
  <si>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</si>
  <si>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</si>
  <si>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</si>
  <si>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</si>
  <si>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</si>
  <si>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</si>
  <si>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</si>
  <si>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</si>
  <si>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</si>
  <si>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</si>
  <si>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</si>
  <si>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</si>
  <si>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</si>
  <si>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</si>
  <si>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</si>
  <si>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</si>
  <si>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</si>
  <si>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</si>
  <si>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</si>
  <si>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</si>
  <si>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</si>
  <si>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</si>
  <si>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</si>
  <si>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</si>
  <si>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</si>
  <si>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</si>
  <si>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</si>
  <si>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</si>
  <si>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</si>
  <si>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</si>
  <si>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</si>
  <si>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</si>
  <si>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</si>
  <si>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</si>
  <si>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</si>
  <si>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</si>
  <si>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</si>
  <si>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</si>
  <si>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</si>
  <si>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</si>
  <si>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</si>
  <si>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</si>
  <si>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</si>
  <si>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</si>
  <si>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</si>
  <si>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</si>
  <si>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</si>
  <si>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</si>
  <si>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</si>
  <si>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</si>
  <si>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</si>
  <si>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</si>
  <si>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</si>
  <si>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</si>
  <si>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</si>
  <si>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</si>
  <si>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</si>
  <si>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</si>
  <si>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</si>
  <si>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</si>
  <si>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</si>
  <si>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</si>
  <si>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</si>
  <si>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</si>
  <si>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</si>
  <si>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</si>
  <si>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</si>
  <si>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</si>
  <si>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</si>
  <si>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</si>
  <si>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</si>
  <si>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</si>
  <si>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</si>
  <si>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</si>
  <si>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</si>
  <si>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</si>
  <si>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</si>
  <si>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</si>
  <si>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</si>
  <si>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</si>
  <si>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</si>
  <si>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</si>
  <si>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</si>
  <si>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</si>
  <si>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</si>
  <si>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</si>
  <si>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</si>
  <si>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</si>
  <si>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</si>
  <si>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</si>
  <si>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</si>
  <si>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</si>
  <si>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</si>
  <si>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</si>
  <si>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</si>
  <si>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</si>
  <si>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</si>
  <si>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</si>
  <si>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</si>
  <si>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</si>
  <si>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</si>
  <si>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</si>
  <si>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</si>
  <si>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</si>
  <si>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</si>
  <si>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</si>
  <si>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</si>
  <si>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</si>
  <si>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</si>
  <si>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</si>
  <si>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</si>
  <si>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</si>
  <si>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</si>
  <si>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</si>
  <si>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</si>
  <si>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</si>
  <si>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</si>
  <si>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</si>
  <si>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</si>
  <si>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</si>
  <si>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</si>
  <si>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</si>
  <si>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</si>
  <si>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</si>
  <si>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</si>
  <si>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</si>
  <si>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</si>
  <si>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</si>
  <si>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</si>
  <si>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</si>
  <si>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</si>
  <si>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</si>
  <si>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</si>
  <si>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</si>
  <si>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</si>
  <si>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</si>
  <si>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</si>
  <si>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</si>
  <si>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</si>
  <si>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</si>
  <si>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</si>
  <si>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</si>
  <si>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</si>
  <si>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</si>
  <si>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</si>
  <si>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</si>
  <si>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</si>
  <si>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</si>
  <si>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</si>
  <si>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</si>
  <si>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</si>
  <si>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</si>
  <si>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</si>
  <si>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</si>
  <si>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</si>
  <si>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</si>
  <si>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</si>
  <si>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</si>
  <si>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</si>
  <si>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</si>
  <si>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</si>
  <si>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</si>
  <si>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</si>
  <si>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</si>
  <si>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</si>
  <si>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</si>
  <si>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</si>
  <si>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</si>
  <si>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</si>
  <si>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</si>
  <si>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</si>
  <si>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</si>
  <si>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</si>
  <si>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</si>
  <si>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</si>
  <si>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</si>
  <si>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</si>
  <si>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</si>
  <si>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</si>
  <si>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</si>
  <si>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</si>
  <si>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</si>
  <si>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</si>
  <si>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</si>
  <si>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</si>
  <si>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</si>
  <si>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</si>
  <si>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</si>
  <si>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</si>
  <si>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</si>
  <si>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</si>
  <si>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</si>
  <si>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</si>
  <si>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</si>
  <si>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</si>
  <si>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</si>
  <si>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</si>
  <si>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</si>
  <si>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</si>
  <si>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</si>
  <si>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</si>
  <si>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</si>
  <si>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</si>
  <si>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</si>
  <si>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</si>
  <si>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</si>
  <si>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</si>
  <si>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</si>
  <si>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</si>
  <si>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</si>
  <si>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</si>
  <si>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</si>
  <si>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</si>
  <si>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</si>
  <si>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</si>
  <si>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</si>
  <si>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</si>
  <si>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</si>
  <si>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</si>
  <si>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</si>
  <si>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</si>
  <si>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</si>
  <si>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</si>
  <si>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</si>
  <si>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</si>
  <si>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</si>
  <si>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</si>
  <si>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</si>
  <si>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</si>
  <si>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</si>
  <si>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</si>
  <si>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</si>
  <si>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</si>
  <si>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</si>
  <si>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</si>
  <si>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</si>
  <si>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</si>
  <si>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</si>
  <si>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</si>
  <si>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</si>
  <si>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</si>
  <si>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</si>
  <si>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</si>
  <si>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</si>
  <si>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</si>
  <si>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</si>
  <si>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</si>
  <si>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</si>
  <si>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</si>
  <si>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</si>
  <si>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</si>
  <si>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</si>
  <si>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</si>
  <si>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</si>
  <si>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</si>
  <si>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</si>
  <si>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</si>
  <si>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</si>
  <si>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</si>
  <si>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</si>
  <si>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</si>
  <si>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</si>
  <si>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</si>
  <si>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</si>
  <si>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</si>
  <si>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</si>
  <si>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</si>
  <si>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</si>
  <si>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</si>
  <si>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</si>
  <si>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</si>
  <si>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</si>
  <si>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</si>
  <si>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</si>
  <si>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</si>
  <si>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</si>
  <si>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</si>
  <si>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</si>
  <si>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</si>
  <si>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</si>
  <si>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</si>
  <si>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</si>
  <si>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</si>
  <si>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</si>
  <si>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</si>
  <si>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</si>
  <si>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</si>
  <si>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</si>
  <si>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</si>
  <si>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</si>
  <si>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</si>
  <si>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</si>
  <si>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</si>
  <si>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</si>
  <si>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</si>
  <si>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</si>
  <si>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</si>
  <si>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</si>
  <si>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</si>
  <si>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</si>
  <si>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</si>
  <si>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</si>
  <si>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</si>
  <si>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</si>
  <si>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</si>
  <si>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</si>
  <si>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</si>
  <si>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</si>
  <si>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</si>
  <si>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</si>
  <si>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</si>
  <si>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</si>
  <si>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</si>
  <si>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</si>
  <si>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</si>
  <si>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</si>
  <si>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</si>
  <si>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</si>
  <si>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</si>
  <si>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</si>
  <si>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</si>
  <si>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</si>
  <si>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</si>
  <si>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</si>
  <si>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</si>
  <si>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</si>
  <si>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</si>
  <si>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</si>
  <si>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</si>
  <si>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</si>
  <si>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</si>
  <si>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</si>
  <si>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</si>
  <si>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</si>
  <si>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</si>
  <si>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</si>
  <si>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</si>
  <si>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</si>
  <si>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</si>
  <si>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</si>
  <si>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</si>
  <si>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</si>
  <si>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</si>
  <si>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</si>
  <si>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</si>
  <si>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</si>
  <si>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</si>
  <si>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</si>
  <si>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</si>
  <si>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</si>
  <si>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</si>
  <si>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</si>
  <si>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</si>
  <si>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</si>
  <si>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</si>
  <si>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</si>
  <si>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</si>
  <si>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</si>
  <si>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</si>
  <si>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</si>
  <si>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</si>
  <si>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</si>
  <si>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</si>
  <si>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</si>
  <si>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</si>
  <si>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</si>
  <si>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</si>
  <si>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</si>
  <si>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</si>
  <si>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</si>
  <si>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</si>
  <si>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</si>
  <si>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</si>
  <si>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</si>
  <si>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</si>
  <si>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</si>
  <si>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</si>
  <si>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</si>
  <si>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</si>
  <si>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</si>
  <si>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</si>
  <si>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</si>
  <si>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</si>
  <si>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</si>
  <si>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</si>
  <si>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</si>
  <si>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</si>
  <si>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</si>
  <si>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</si>
  <si>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</si>
  <si>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</si>
  <si>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</si>
  <si>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</si>
  <si>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</si>
  <si>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</si>
  <si>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</si>
  <si>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</si>
  <si>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</si>
  <si>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</si>
  <si>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</si>
  <si>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</si>
  <si>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</si>
  <si>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</si>
  <si>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</si>
  <si>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</si>
  <si>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</si>
  <si>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</si>
  <si>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</si>
  <si>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</si>
  <si>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</si>
  <si>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</si>
  <si>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</si>
  <si>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</si>
  <si>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</si>
  <si>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</si>
  <si>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</si>
  <si>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</si>
  <si>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</si>
  <si>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</si>
  <si>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</si>
  <si>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</si>
  <si>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</si>
  <si>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</si>
  <si>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</si>
  <si>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</si>
  <si>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</si>
  <si>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</si>
  <si>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</si>
  <si>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</si>
  <si>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</si>
  <si>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</si>
  <si>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</si>
  <si>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</si>
  <si>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</si>
  <si>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</si>
  <si>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</si>
  <si>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</si>
  <si>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</si>
  <si>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</si>
  <si>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</si>
  <si>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</si>
  <si>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</si>
  <si>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</si>
  <si>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</si>
  <si>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</si>
  <si>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</si>
  <si>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</si>
  <si>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</si>
  <si>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</si>
  <si>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</si>
  <si>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</si>
  <si>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</si>
  <si>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</si>
  <si>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</si>
  <si>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</si>
  <si>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</si>
  <si>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</si>
  <si>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</si>
  <si>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</si>
  <si>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</si>
  <si>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</si>
  <si>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</si>
  <si>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</si>
  <si>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</si>
  <si>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</si>
  <si>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</si>
  <si>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</si>
  <si>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</si>
  <si>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</si>
  <si>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</si>
  <si>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</si>
  <si>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</si>
  <si>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</si>
  <si>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</si>
  <si>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</si>
  <si>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</si>
  <si>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</si>
  <si>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</si>
  <si>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</si>
  <si>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</si>
  <si>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</si>
  <si>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</si>
  <si>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</si>
  <si>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</si>
  <si>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</si>
  <si>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</si>
  <si>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</si>
  <si>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</si>
  <si>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</si>
  <si>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</si>
  <si>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</si>
  <si>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</si>
  <si>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</si>
  <si>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</si>
  <si>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</si>
  <si>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</si>
  <si>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</si>
  <si>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</si>
  <si>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</si>
  <si>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</si>
  <si>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</si>
  <si>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</si>
  <si>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</si>
  <si>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</si>
  <si>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</si>
  <si>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</si>
  <si>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</si>
  <si>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</si>
  <si>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</si>
  <si>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</si>
  <si>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</si>
  <si>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</si>
  <si>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</si>
  <si>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</si>
  <si>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</si>
  <si>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</si>
  <si>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</si>
  <si>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</si>
  <si>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</si>
  <si>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</si>
  <si>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</si>
  <si>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</si>
  <si>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</si>
  <si>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</si>
  <si>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</si>
  <si>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</si>
  <si>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</si>
  <si>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</si>
  <si>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</si>
  <si>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</si>
  <si>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</si>
  <si>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</si>
  <si>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</si>
  <si>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</si>
  <si>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</si>
  <si>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</si>
  <si>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</si>
  <si>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</si>
  <si>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</si>
  <si>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</si>
  <si>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</si>
  <si>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</si>
  <si>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</si>
  <si>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</si>
  <si>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</si>
  <si>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</si>
  <si>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</si>
  <si>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</si>
  <si>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</si>
  <si>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</si>
  <si>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</si>
  <si>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</si>
  <si>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</si>
  <si>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</si>
  <si>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</si>
  <si>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</si>
  <si>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</si>
  <si>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</si>
  <si>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</si>
  <si>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</si>
  <si>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</si>
  <si>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</si>
  <si>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</si>
  <si>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</si>
  <si>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</si>
  <si>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</si>
  <si>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</si>
  <si>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</si>
  <si>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</si>
  <si>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</si>
  <si>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</si>
  <si>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</si>
  <si>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</si>
  <si>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</si>
  <si>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</si>
  <si>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</si>
  <si>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</si>
  <si>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</si>
  <si>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</si>
  <si>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</si>
  <si>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</si>
  <si>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</si>
  <si>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</si>
  <si>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</si>
  <si>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</si>
  <si>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</si>
  <si>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</si>
  <si>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</si>
  <si>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</si>
  <si>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</si>
  <si>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</si>
  <si>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</si>
  <si>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</si>
  <si>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</si>
  <si>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</si>
  <si>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</si>
  <si>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</si>
  <si>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</si>
  <si>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</si>
  <si>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</si>
  <si>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</si>
  <si>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</si>
  <si>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</si>
  <si>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</si>
  <si>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</si>
  <si>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</si>
  <si>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</si>
  <si>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</si>
  <si>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</si>
  <si>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</si>
  <si>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</si>
  <si>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</si>
  <si>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</si>
  <si>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</si>
  <si>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</si>
  <si>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</si>
  <si>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</si>
  <si>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</si>
  <si>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</si>
  <si>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</si>
  <si>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</si>
  <si>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</si>
  <si>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</si>
  <si>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</si>
  <si>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</si>
  <si>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</si>
  <si>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</si>
  <si>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</si>
  <si>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</si>
  <si>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</si>
  <si>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</si>
  <si>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</si>
  <si>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</si>
  <si>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</si>
  <si>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</si>
  <si>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</si>
  <si>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</si>
  <si>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</si>
  <si>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</si>
  <si>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</si>
  <si>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</si>
  <si>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</si>
  <si>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</si>
  <si>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</si>
  <si>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</si>
  <si>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</si>
  <si>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</si>
  <si>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</si>
  <si>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</si>
  <si>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</si>
  <si>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</si>
  <si>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</si>
  <si>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</si>
  <si>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</si>
  <si>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</si>
  <si>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</si>
  <si>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</si>
  <si>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</si>
  <si>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</si>
  <si>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</si>
  <si>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</si>
  <si>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</si>
  <si>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</si>
  <si>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</si>
  <si>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</si>
  <si>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</si>
  <si>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</si>
  <si>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</si>
  <si>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</si>
  <si>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</si>
  <si>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</si>
  <si>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</si>
  <si>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Vicki Lundy Wilbon</t>
  </si>
  <si>
    <t>President</t>
  </si>
  <si>
    <t>60 Piedmont Avenue NE</t>
  </si>
  <si>
    <t>vlwilbon@integral-online.com</t>
  </si>
  <si>
    <t>Veteran Senior Housing - Assisted Living</t>
  </si>
  <si>
    <t>No</t>
  </si>
  <si>
    <t>3644 Memorial Drive</t>
  </si>
  <si>
    <t>Yes</t>
  </si>
  <si>
    <t>CEO</t>
  </si>
  <si>
    <t>Mr. W. Burrell Ellis, Jr</t>
  </si>
  <si>
    <t xml:space="preserve">Chief Executive Officer </t>
  </si>
  <si>
    <t xml:space="preserve">330 W. Ponce de Leon Avenue, 6th Floor </t>
  </si>
  <si>
    <t>Senior (Elderly)</t>
  </si>
  <si>
    <t>3644 Memorial Senior I LP</t>
  </si>
  <si>
    <t>Egbert Perry</t>
  </si>
  <si>
    <t>eperry@integral-online.com</t>
  </si>
  <si>
    <t>3644 Memorial Senior I GP LLC</t>
  </si>
  <si>
    <t>RBC Capital Markets</t>
  </si>
  <si>
    <t>2101 Rexford Road, Suite 375W</t>
  </si>
  <si>
    <t>Charlotte</t>
  </si>
  <si>
    <t>Brian C. Flanagan</t>
  </si>
  <si>
    <t>Regional Director</t>
  </si>
  <si>
    <t>brian.flanagan@rbc.com</t>
  </si>
  <si>
    <t>Integral Development LLC</t>
  </si>
  <si>
    <t>President &amp; COO</t>
  </si>
  <si>
    <t>IBG Construction Services LLC</t>
  </si>
  <si>
    <t>100 Auburn Avenue NE Suite 200</t>
  </si>
  <si>
    <t>Kenneth Chestnut</t>
  </si>
  <si>
    <t>COO</t>
  </si>
  <si>
    <t>kchestnut@ibgcs.com</t>
  </si>
  <si>
    <t>Integral Property Management LLC</t>
  </si>
  <si>
    <t>Denise Koehl</t>
  </si>
  <si>
    <t>DKoehl@integral-online.com</t>
  </si>
  <si>
    <t>Arnall Golden Gregory</t>
  </si>
  <si>
    <t>jonathan.eady@agg.com</t>
  </si>
  <si>
    <t xml:space="preserve">171 17th Street NW  Suite 2100 </t>
  </si>
  <si>
    <t>Jonathan Eady</t>
  </si>
  <si>
    <t>Joe Lancaster</t>
  </si>
  <si>
    <t>Neither</t>
  </si>
  <si>
    <t>DeKalb HOME Loan</t>
  </si>
  <si>
    <t>DeKalb County HOME Loan</t>
  </si>
  <si>
    <t>RBC Capital Market</t>
  </si>
  <si>
    <t>DeKalb County Housing Authority</t>
  </si>
  <si>
    <t>3+ Story</t>
  </si>
  <si>
    <t>Electric Heat Pump</t>
  </si>
  <si>
    <t>Cable</t>
  </si>
  <si>
    <t>State Boost</t>
  </si>
  <si>
    <t>DeKalb County</t>
  </si>
  <si>
    <t>3644 Memorial Senior, LP c/o Vicki Lundy Wilbon</t>
  </si>
  <si>
    <t>The Veteran Senior Housing - Assisted Living is the first Affordable Assisted Living Community in DeKalb County.  The site is located in a stable community with a poverty rate of 13.1 percent.  The site is located with 5 miles of the VA Medical and Administration Office for Atlanta, GA</t>
  </si>
  <si>
    <t>The Veteran Senior Housing - Assisted Living submitted and received Special Land Use Permit (SLUP) under the OCR Zoning Ordinance, to construct a four-story Veteran Senior Housing - Assisted Living Facility.</t>
  </si>
  <si>
    <t>Habif, Arogeti &amp; Wynne, L.L.P</t>
  </si>
  <si>
    <t>Allison Fossyl</t>
  </si>
  <si>
    <t>Five Concourse Parkway, Suite 1000</t>
  </si>
  <si>
    <t>Senior Manager</t>
  </si>
  <si>
    <t xml:space="preserve">alison.fossyl@hawcpa.com </t>
  </si>
  <si>
    <t>255 Village Parkway, Suite 630</t>
  </si>
  <si>
    <t>Jlancaster@jlainc.com</t>
  </si>
  <si>
    <t>The General Contractor and Management Company have an Identity of Interest with the Managing General Partner and Developer through their affiliation with The Integral Group LLC.</t>
  </si>
  <si>
    <t xml:space="preserve">The applicant has applied for funding for a HOME Loan from DeKalb County, GA.  A copy of the letter from DeKalb County Planning Department outlining the terms is included in Tab 5, Financing Commitments. </t>
  </si>
  <si>
    <t>Lights include Other Electric (include Base Charge), Range/Microwave, and Refrigerator</t>
  </si>
  <si>
    <t>The utility allowances are applied to the tenant portion of the rent.</t>
  </si>
  <si>
    <t>80% Cashflow</t>
  </si>
  <si>
    <t>Agree</t>
  </si>
  <si>
    <t>RealPropertyResearchGroup</t>
  </si>
  <si>
    <t>There is no identify of interest between 3644 Memorial Senior LP and the Seller Avondale Partners.  The Purchase Agreement is included in Tab 12.</t>
  </si>
  <si>
    <t>Prater &amp; York, LLC</t>
  </si>
  <si>
    <t>Contract/Option</t>
  </si>
  <si>
    <t>3644 Memorial Senior LP</t>
  </si>
  <si>
    <t>The Purchase Agreement is included in Tab 12</t>
  </si>
  <si>
    <t>The site is accessible from Memorial Drive as evidenced by the survey and site map located in Tab 13.</t>
  </si>
  <si>
    <t xml:space="preserve">The Veteran Senior Housing - Assisted Living meets OCR zoning requirements with the approved Special Land Use Permit (SLUP)  for DeKalb County.  </t>
  </si>
  <si>
    <t>A Variance was approved which allows 25 parking spaces for the proposed Veteran Senior Housing - Assisted Living Development</t>
  </si>
  <si>
    <t>Georgia Power</t>
  </si>
  <si>
    <t>DeKalb County Water Shed Authority</t>
  </si>
  <si>
    <t>The utility availibility letters are included in Tab 15.</t>
  </si>
  <si>
    <t>Room</t>
  </si>
  <si>
    <t>Gazebo</t>
  </si>
  <si>
    <t>On-site laundry</t>
  </si>
  <si>
    <t>Furnished Arts &amp; Craft /Activity Center</t>
  </si>
  <si>
    <t>The Site Map and photos are included in Tab 18.</t>
  </si>
  <si>
    <t>Qualified without Conditions</t>
  </si>
  <si>
    <t>The Applicant was qualified without Condition.  The DCA Determination list is included in Tab 3 and 19</t>
  </si>
  <si>
    <t>The Compliance for each agent of 3644 Memorial Senior LP is included in Tab 3 and previously submitted in the Performance Workbook on May 12, 2011</t>
  </si>
  <si>
    <t>Earth Craft House</t>
  </si>
  <si>
    <t>Stable Communities &lt; 20%</t>
  </si>
  <si>
    <t>Pass</t>
  </si>
  <si>
    <t>Floating</t>
  </si>
  <si>
    <t xml:space="preserve">Currently, once a senior can no longer live independently, residing in a nursing homes is one of the few long term care options for low- to moderate-income seniors.   While assisted living facilities can provide aging seniors with a more desirable community like setting, and delay or even prevent the need to being admitted into a nursing home, the high private pay costs make it unaffordable for most seniors.
Housing makes up a substantial portion of the total cost of living in an assisted living facility, land and development costs have a considerable impact on affordability.  Although many government agencies and private foundations hope to alleviate the situation by providing incentives such as loans or subsidies, the funds are fragmented and difficult to access (The Long Term Care Community Coalition 2008).
</t>
  </si>
  <si>
    <t>Edna:  A few years ago Edna was roaming the halls or sitting in the library of her independent elderly-designated public housing building.  Edna was a real bright spot in this building.  She was always smiling and had cheerful comments for the staff and other residents.  She had lived at Town View Terrace since 1992 as a widow living on a social security pension after many years of working and raising her family.  
Edna was moved to a nursing home because she was having difficulty cooking and cleaning in addition to forgetting to take her medications daily.  None of her three children were in a position to take her in or to visit her often.  Her life and her close friends were at Town View Terrace.</t>
  </si>
  <si>
    <t>Ashley Auburn Pointe II</t>
  </si>
  <si>
    <t>Integral Development</t>
  </si>
  <si>
    <t>The terms of the Deferred Developer Fee are in the Development Services Agreement between Integral Development, LLC and 3644 Memorial Senior, LP. A copy of the agreement is included in Tab 5.</t>
  </si>
  <si>
    <t xml:space="preserve">DCA’s stated criteria for electing a superior project includes the following areas of consideration:  1) Community changing effect on the neighborhood, 2) Unique concept or design / meets an overriding DCA objective, 3) Urgent need in the community are met, and 4) Substantial community support and involvement.   We truly believe that this project, Dekalb (County) Veteran Senior Housing, represents a superior project concept.  </t>
  </si>
  <si>
    <t xml:space="preserve">Currently, once a senior can no longer live independently, residing in nursing homes is one of the few long term care options for low- to moderate-income seniors.   While assisted living facilities can provide aging seniors with a more desirable community like setting, and delay or even prevent the need for admittance into a nursing home, the high private pay costs is unaffordable for most seniors.  Housing makes up a substantial portion of the total cost of living in an assisted living facility; land and development costs have a considerable impact on affordability.  Although many government agencies and private foundations hope to alleviate the situation by providing incentives such as loans or subsidies, the funds are fragmented and difficult to access (The Long Term Care Community Coalition 2008).   We submit the Dekalb Veteran Senior Housing project as a viable option to address this senior housing dilemma.  </t>
  </si>
  <si>
    <t xml:space="preserve">Our Dekalb Veteran Senior Housing – Assisted Living (“VSH”) Facility will, hopefully, be the first of many facilities addressing the needs of veteran and non-veteran seniors.  VSH will be a new construction, single building with 60 units, located at 3644 Memorial Drive, adjacent to the Wal-Mart Shopping Center.  Our project will be in the midst of a vibrant community in close proximity to amenities for our residents.  Our resident population will consist of 100% veterans. Therefore, in addition to being in close proximity to the amenities of the area, our property will be in close proximity to the VA Medical Center located on Clairmont Road.  Locating wonderful affordable housing, along with quality Health Care, are amongst the most important issues facing our growing veteran senior population.   </t>
  </si>
  <si>
    <t xml:space="preserve">Community changing effect on the neighborhood - The demand for affordable senior living solutions is significant and growing exponentially. From 2007 to 2030, the population age 65+ is projected to grown by 89%, that is more than four times as fast as the population as a whole (+21%).  Most of this growth, especially over the next 10-15 years, will be amongst the young old (age 65-74) because of the aging of the baby boomers.  A better barometer for the potential demand for long term care services is the growth in the population age 85 or older, which is expected to increase by 74% between 2007 and 2030.  The oldest old not only have much higher rates of disability, but they also are much more likely to be widowed and without someone to provide assistance with daily activities.  (See Table 1 in attached supporting documentation) </t>
  </si>
  <si>
    <t>The population aged 85 or older, the age group that is most likely to need long term care services, is growing at a dramatic rate.  Providing affordable assisted living to meet this need will have a huge impact on the neighborhood by offering alternative housing options which will allow seniors to live with dignity in facilities close to their current homes, family members and services.  Additionally this alternative will save tax payers money, as the cost of nursing home care extends the cost of proving subsidized housing in the VSH facility.</t>
  </si>
  <si>
    <t xml:space="preserve">Unique concept or design / meets an overriding DCA objective - As a developer, owner and manager of independent senior housing, Integral has observed that there is a growing number of seniors who are aging in-place and in need of an affordable assisted living option. Integral has developed 8 independent living senior facilities, and one private pay assisted living facility.  As our residents age and can no longer live independently or afford to be transferred to a private pay facility (typically $3,000 - $5,000 per month in Metro Atlanta), they are forced to lose their independence and many times feel like a burden by either residing with a relative or being admitted to a rehabilitation or nursing home. Therefore, most residents attempt to hide the fact that they can no longer live independently for fear of being forced to choose one of the undesirable alternatives. </t>
  </si>
  <si>
    <t xml:space="preserve">This is a terrible decision that we force upon our elderly, but nevertheless, it is their frightening reality. Furthermore, when these seniors are veterans who have sacrificed life and limb for our freedom, it exacerbates the cruelty of this dilemma and highlights the need for making a change.  We believe that this concept is consistent with DCA’s desire to provide vibrant, safe and affordable housing for seniors unless or until they require rehabilitation or nursing home care.  This type of project closes the gap in affordable senior housing presently available. </t>
  </si>
  <si>
    <t xml:space="preserve">Urgent need in the community is being met -  Integral’s mission now includes pairing affordable assisted living services with affordable housing for those with low and moderate incomes.  Our initial project to address the absence of affordable assisted living facilities will be a community for veterans only.   
There are over 14,000 seniors who are veterans in DeKalb County where there are no affordable assisted living options.  The only affordable long term care option of scale presently to low income veteran seniors is nursing home care.  Our project will be designed and operated to allow seniors who are income qualified to choose assisted living services.   </t>
  </si>
  <si>
    <t>The building will be designed based upon the Lifelong Communities principles of creating a vibrant streetscape, walkable community to the adjacent retails business and other services within a 1-mile radius.  The building will have a commercial kitchen to offer meals for our residents, and other areas such as staff and management offices, resident care room, personal care room, laundry room and medical preparation space.   Also, there will be a van owned by the facility, to facilitate transportation to medical/doctor appointments as well as providing activities for residents outside of the facility.</t>
  </si>
  <si>
    <t>Insurance  &amp; Other Soft Costs</t>
  </si>
  <si>
    <t xml:space="preserve">Substantial community support and involvement – The Dekalb County community (businesses, local government and neighboring residents) has embraced this affordable assisted living concept.  All understand the need to provide affordable assisted living options to our aging populations and many have personal stories of family members or friends in need of such a facility.  This development is cited on an out-parcel to a Wal-Mart Superstore.  Wal-Mart has a veterans focused initiative and supported the project by signing aConsent To Project Development.  The County is providing a $500,000 Home Loan and rezoned the property to support the proposed use.  The surrounding neighbors welcome a facility that provides affordable assisted living to the senior citizens of Dekalb County and applaud the focus on housing military veterans. </t>
  </si>
  <si>
    <t>As a developer, owner and manager of independent senior housing, Integral has observed that there is a growing number of seniors who are aging in-place and in need of an affordable assisted living option. Integral has developed 6 independent living senior facilities, and one private pay assisted living facility.  As our residents age and can no longer live independently or afford to be transferred to a private pay facility (typically $3,000 - $5,000 per month in Metro Atlanta), they are forced to lose their independence and many times feel like a burden by either residing with a relative or being admitted to a rehabilitation or nursing home. Therefore, most residents attempt to hide the fact that they can no longer live independently for fear of being forced to choose one of the undesirable alternatives. This is a terrible decision that we force upon our elderly, but nevertheless, it is their frightening reality. Furthermore, when these seniors are veterans who have sacrificed life and limb for our freedom, it exacerbates the cruelty of this dilemma and highlights the need for making a change.</t>
  </si>
  <si>
    <t>More specifically, there are over 14,000 seniors who are veterans in DeKalb County where there are no affordable assisted living options.  The only affordable long term care option of scale presently to low income veteran seniors is nursing home care.  Our project will be designed and operated to allow seniors who are income qualified to choose assisted living services.   The building will be designed based upon the Lifelong Communities principles of creating a vibrant streetscape, walkable community to the adjacent retails business and other services within a 1-mile radius.  The building will have a commercial kitchen to offer meals for our residents, and other areas such as staff and management offices, resident care room, personal care room, laundry room and medical preparation space.   Also, there will be a van owned by the facility, to facilitate transportation to medical/doctor appointments as well as providing activities for residents outside of the facility.</t>
  </si>
  <si>
    <t xml:space="preserve">VSH combined demand for affordable assisted living units among veterans in DeKalb County was estimated at 422 persons. The proposed 60 units at DeKalb Veteran Senior housing represents only 14.2 percent of that demand (Documented in Tab 9 Market Study).
VSH will be a full service Assisted Living Facility (ALF) that will operate 24 hours per day, 7 days per week, inclusive of serving 3 meals per day. The service staff will assist residents with the activities of daily living (feeding, ambulating, toileting, grooming, bathing, transferring, etc.) as required and with medication management.
This type of ALF typically costs $3,000 - $5,000 per month. There will be no project based rental assistance; therefore, our residents will pay typically between $550 and $685 for rent.  </t>
  </si>
  <si>
    <t>All units will be private one bedroom and fully handicapped accessible. 100% of the project will be affordable to veteran seniors at or below 60% of the Area Median Income. Our residents that elect to receive assisted living services will be qualified to receive Aid and Attendance reimbursement from the Veterans Administration.  
Lastly, it is important to understand the human side of what a project like this can mean to the lives of one of our society’s most precious resources; our seniors. Below are two real stories that demonstrate why as a society we must to address this issue.</t>
  </si>
  <si>
    <t xml:space="preserve">Several weeks later I had the opportunity to visit Edna in the nursing home.  I found her sitting in a chair besides her bed, looking like she had lost her best friend.  In fact, she had pretty much lost all her friends.  She said she had been asked not to walk around and visit with other folks as they didn’t have enough staff to keep track of all the residents if they didn’t stay in their rooms or as a part of organized activity.  While she still appeared to be healthy, she was definitely sad and lonely.  My heart ached for Edna.
I was able to visit Edna only once more sometime later and was extremely saddened to see her still sitting in the same chair but with no spirit left.  She barely smiled when I walked in the room.
Edna died in the nursing home alone and without her friends around her.  They said she died after a period of declining health.  I don’t believe it was poor health that caused Edna’s premature death.  I believe it was a broken heart.  I have been determined since then to find a way to help save other precious older citizens from having to suffer the same consequences unnecessarily.  </t>
  </si>
  <si>
    <t xml:space="preserve">It was at this time that the building where they both lived was being converted to an assisted living facility, the first public housing assisted living project in the nation.  After a short meeting with the administrator of the new program, Timoteo enrolled both himself and his wife Vera.  The next day we visited Vera at the nursing home where she had lived for several months.  We found her completely naked, sharing a tiny room with ten other women, tied to a bed and weighing less than eighty pounds.  Arrangements were made to transfer Vera back to her old apartment where Timoteo was waiting for her.   Their physical and cognitive health improved in just one month after arriving Vera moving back to her home, to the point that Timoteo was no longer using a wheel chair and Vera went back to dancing and playing her piano.  She was often referred as the soul of the building.  </t>
  </si>
  <si>
    <t xml:space="preserve">Timoteo died one year later of a heart attack with Vera at his side.  Vera remained at the facility for eight more years and died in her sleep surrounded by friends, her cat and the adoring staff members who cared for her over so many years.   Timoteo and Vera were indeed very lucky to live in a community such as this where they could age in place with dignity.   
                                                           Conchy Bretos, CEO Mia Senior Living Solutions
</t>
  </si>
  <si>
    <t>The majority of our elderly low-income residents are in very much the same predicament as Edna was, and many live every day in fear of the day they will be forced to move to a nursing home and lose their independence, friends and family ties. 
                                 Stan Popp, Executive Director of Wayne Metropolitan Housing Authority, Ohio                                                                                                                       Timoteo and Vera:  The couple had been married for sixty-seven years and had lived in public housing for most of those years until Vera started experiencing symptoms of dementia.  Being confined to a wheel-chair, Timoteo was not able to assist with the care that Vera was requiring in addition to taking care of the daily household chores such as housekeeping, cooking, and laundry.  Several months later the housing director was forced to send Vera to a nursing home given her state of total neglect and Timoteo’s inability to properly care for her.</t>
  </si>
  <si>
    <t>RBC will acquire 98.99% interest in the LIHTC, RBC Tax Credit Manager II, Inc. (“RBC Manager”) will acquire a .001% interest in the LIHTC, RBC State Credit Partner, its successors and assigns, will acquire 100% of the STC, as well as 1% of the LIHTC (collectively, the “Interest”) in the Partnership. The LOI is included in Tab 5</t>
  </si>
  <si>
    <t>Grady Multfamily II, LP</t>
  </si>
  <si>
    <t>Atlanta Housing Authority</t>
  </si>
  <si>
    <t>Veranda at Centennial Place</t>
  </si>
  <si>
    <t>Integral Development, LLC</t>
  </si>
  <si>
    <t>3644 Memorial Senior GP, LLC</t>
  </si>
  <si>
    <t>Grady Multifamily GP II, LLC</t>
  </si>
  <si>
    <t>Centennial Senior Partnership I, LP</t>
  </si>
  <si>
    <t>Centennial Senior GP I, LLC</t>
  </si>
  <si>
    <t xml:space="preserve">  The Replacement Reserve amount per unit per year is the calculated amount required by the Equity Syndicator.  That calculation yields the largest replacement reserve requirement. </t>
  </si>
  <si>
    <t>The Asset Management Fee includes a $10,000 Administrative Expense Reimbursement to RBC Capital per the terms of the LOI included in Tab 5.  It also includes an Incentive Management Fee of 80% of available cash flow to the GP is shown.</t>
  </si>
  <si>
    <t xml:space="preserve">There is an open 8823 on Centennial Phase I pertaining to a building set-aside issue.  The issue arose from an incorrect selection to treat each building as an individual project on the 8609s, which resulted in one building having too few units set aside to be treated as an individual project.  A copy of the Private Letter Ruling request to the IRS seeking modification of the set-aside </t>
  </si>
  <si>
    <t xml:space="preserve">election was provided to DCA by April 1, 2011.  The open 8823 results in a 1 point deduction.  The Project Team qualifies for 3 bonus points by owning &amp; managing 10 qualifying projects. </t>
  </si>
  <si>
    <t>The project team has experience with multiple projects that have been EarthCraft Multifamily Certified.  A Certificate of Attendance to DCA's Sustainability Workshop is included in Tab 29.</t>
  </si>
  <si>
    <t>There are several Public Transit Stops adjacent to the project site located at 3644 Memorial Drive.  A Public Transit Stop map is included in Tab 25.</t>
  </si>
  <si>
    <t>An preliminary demand analysis performed by RealPropertyResearchGroup confirmed that the project site is located in a Stable Community with a high demand for affordable Senior Assisted Living housing.</t>
  </si>
  <si>
    <t>The Veteran Senior Housing - Assisted Living will be located in City of Decatur, DeKalb County, immediately adjacent to Walmart and several other commercial business.  This project will be able to successfully reach and maintain a stabliized occupancy upon entrance.</t>
  </si>
  <si>
    <t xml:space="preserve">A Commitment letter for DeKalb Home funds is included in Tab 5 </t>
  </si>
  <si>
    <t>A complete list of services both optional and provided is outlined in Tab 21</t>
  </si>
  <si>
    <t xml:space="preserve">A Noise Survey for the subject property was conducted by Harry Walls Consulting. According to Harry Walls Consulting, it was concluded that the exterior use areas and the interior residential </t>
  </si>
  <si>
    <t xml:space="preserve">areas, as planned, meet HUD/DCA regulations provided the developer uses the exterior wall materials as planned. Additional details are included in the Noise Survey Report included in </t>
  </si>
  <si>
    <t>Appendix J.</t>
  </si>
  <si>
    <t>Memorial Drive</t>
  </si>
  <si>
    <t>Minority concentration</t>
  </si>
  <si>
    <t>The applicant's understanding is that the Contract Addendum is only required for projects using DCA HOME funds</t>
  </si>
  <si>
    <t>The Legal Opinion and Owner's Certification is included in Tab 21</t>
  </si>
  <si>
    <t>continue the revitalization of an important WalMart - Mixed-Use corridor in Decatur, GA</t>
  </si>
  <si>
    <t xml:space="preserve">Veteran Senior Housing Assisted Living is mixed-finance project that will combine public and private financing to bridge the gap of affordable housing for aging seniors and </t>
  </si>
  <si>
    <t>231.07, 230.00, 231.06, 229.00</t>
  </si>
  <si>
    <t xml:space="preserve">6 months to 93% </t>
  </si>
  <si>
    <t>50% AMI 3 Months 60% AMI 6 Months</t>
  </si>
  <si>
    <t>50% AMI 4.6% 60% AMI 22.9% Overall 16.2</t>
  </si>
  <si>
    <t>Superior Project Narrative</t>
  </si>
  <si>
    <t>State Boost Narrative</t>
  </si>
  <si>
    <t>Construction hard costs were generated by our affiliate, IBG Construction Services, Inc (IBG).  IBG has 15 years of General Contracting and Construction Management experience on similar projects with DCA.  They have estimated the construction cost using design specification assumptions based upon similar projects and requirements per the 2011 Architectural Manaual.  Pricing is based on current market conditions.  The Construction Cost estimate is included in Tab 8.</t>
  </si>
  <si>
    <t xml:space="preserve"> The Real Estate Taxes are calculated by Dividing the NOI by an acceptable Cap Rate of 6% which equals the FMV.  The FMV is multiplied by 40% taxable assement then multiplied by the 2010 millage rate of 0.04009 - This calucation is included in Tab 8.</t>
  </si>
  <si>
    <t>The  insurance amount is based upon a quote from McGriff Seibels Williams that is included in Tab 8.  The quote includes permanent property, general liability, and umbrella coverage using current pricing of $8,461.71.  the remaining balance of $7,538.29 is estimated for an contracted services</t>
  </si>
  <si>
    <t xml:space="preserve"> Wells Fargo, Midway Recreation Center &amp; Park, SALA Learning &amp; Development Centers, Inc. Tiny Tots Decatur, South DeKalb Primary Care Center,  Belvedere United Methodist Church, Taco Bell, and Popeye’s.  Also within one-half mile of the subject property is largely residential area with both single family detached homes and multi-family rental communities.</t>
  </si>
  <si>
    <t>Narrative requesting Superior Project Designation for DeKalb Veteran Senior Housing is included in Tab 39.   This affordable assisted living facility wil be the first of its kind in Georgia.  It will also serve an important Constituency;  U.S. Veterans and their spouses.</t>
  </si>
  <si>
    <t>The project site is located on out parcel 1 of the Wal-Mart Development located on Memorial Drive. Wal-Mart's support letter is included in Tab 14. The Veteran Senior Housing – Assisted Living is located near two significant commercial developments; Wal-Mart Plaza and Kroger/Belvedere Plaza.  Other Desirables include, but are not limited to Wal-Mart’s Pharmacy, Bank of America,</t>
  </si>
  <si>
    <t xml:space="preserve">The demand for affordable senior living solutions is significant and growing exponentially. From 2007 to 2030, the population age 65+ is projected to grown by 89%, that is more than four times as fast as the population as a whole (+21%).  Most of this growth, especially over the next 10-15 years, will be amongst the young old (age 65-74) because of the aging of the baby boomers.  A better barometer for the potential demand for long term care services is the growth in the population age 85 or older, which is expected to increase by 74% between 2007 and 2030.  The oldest old not only have much higher rates of disability, but they also are much more likely to be widowed and without someone to provide assistance with daily activities (AARP Public Policy Institute.  Eight Edition.  2009). The population aged 85 or older, the age group that is most likely to need long term care services, is growing at a dramatic rate.  
</t>
  </si>
  <si>
    <t xml:space="preserve">Therefore, our initial project to address this problem will be a community for veterans only.  As a result of this continued issue, Integral’s mission now includes pairing affordable assisted living services with affordable housing for those with low and moderate incomes.  Veteran Senior Housing – Assisted Living (“VSH”) Facility will be the first of many facilities addressing the needs of veteran and non-veteran seniors.  VSH will be a new construction, single building with approximately 60 units. VSH is located at approximately 3644 Memorial Drive, adjacent to the Wal-Mart Shopping Center.  Our project will be in the midst of a vibrant community in close proximity to amenities for our residents.  Our resident population will consist of 100% veterans. Therefore, in addition to being in close proximity to the amenities of the area, our property will also be in close proximity to the VA Medical Center located on Clairmont Road.  Quality affordable housing availability, along with Health Care, are two of the most important issues facing our growing veteran senior population.  </t>
  </si>
  <si>
    <t>The applicant has received support from the DeKalb County Planning Department, the Community Council, and the Chief Executive Officer for DeKalb County.  Letters of support and the DeKalb County Resolution are included in  Tab 16.</t>
  </si>
  <si>
    <t>2011-012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</si>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</sst>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64" fontId="1"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43" fontId="10" fillId="6" borderId="19" xfId="1" applyNumberFormat="1" applyFont="1" applyFill="1" applyBorder="1" applyProtection="1"/>
    <xf numFmtId="164" fontId="10" fillId="6" borderId="17" xfId="1" applyNumberFormat="1" applyFont="1" applyFill="1" applyBorder="1" applyProtection="1"/>
    <xf numFmtId="164" fontId="10" fillId="6" borderId="19" xfId="1" applyNumberFormat="1" applyFont="1" applyFill="1" applyBorder="1" applyProtection="1"/>
    <xf numFmtId="43" fontId="10" fillId="6" borderId="18"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0" xfId="0"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0" fontId="58" fillId="0" borderId="2" xfId="0" applyFont="1" applyBorder="1" applyProtection="1"/>
    <xf numFmtId="0" fontId="58" fillId="0" borderId="38" xfId="0" applyFont="1" applyBorder="1" applyProtection="1"/>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169" fontId="58" fillId="5" borderId="37" xfId="0" applyNumberFormat="1" applyFont="1" applyFill="1" applyBorder="1" applyAlignment="1" applyProtection="1">
      <alignment horizontal="center"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2"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8" fillId="0" borderId="0" xfId="0" applyFont="1" applyFill="1" applyBorder="1" applyAlignment="1" applyProtection="1">
      <alignment horizontal="left"/>
    </xf>
    <xf numFmtId="0" fontId="58" fillId="5" borderId="7" xfId="0" applyFont="1" applyFill="1" applyBorder="1" applyAlignment="1" applyProtection="1">
      <alignment horizontal="left" vertical="center"/>
    </xf>
    <xf numFmtId="0" fontId="58" fillId="5" borderId="2"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61"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37" xfId="0" applyFont="1" applyFill="1" applyBorder="1" applyAlignment="1" applyProtection="1">
      <alignment horizontal="left" vertical="center" wrapText="1"/>
    </xf>
    <xf numFmtId="0" fontId="86" fillId="0" borderId="0" xfId="6" applyFont="1" applyFill="1" applyAlignment="1" applyProtection="1">
      <alignmen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0" fontId="58" fillId="5" borderId="2" xfId="0" applyFont="1" applyFill="1" applyBorder="1" applyAlignment="1" applyProtection="1">
      <alignment vertical="center"/>
    </xf>
    <xf numFmtId="0" fontId="58" fillId="5" borderId="38" xfId="0"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0" borderId="14" xfId="0" applyFont="1" applyBorder="1" applyAlignment="1" applyProtection="1">
      <alignment horizontal="center"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8" fontId="58" fillId="6" borderId="87"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 fillId="5" borderId="37"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0" fillId="0" borderId="38" xfId="0" applyBorder="1" applyAlignment="1" applyProtection="1">
      <alignment horizontal="left"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44" fillId="0" borderId="0" xfId="0" applyFont="1" applyAlignment="1" applyProtection="1">
      <alignment horizontal="justify" vertical="top" wrapText="1"/>
    </xf>
    <xf numFmtId="0" fontId="44" fillId="0" borderId="0" xfId="0" applyFont="1" applyAlignment="1" applyProtection="1">
      <alignment horizontal="left"/>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0" fontId="44" fillId="0" borderId="0" xfId="0" applyFont="1" applyAlignment="1" applyProtection="1">
      <alignment horizontal="left" wrapText="1"/>
    </xf>
    <xf numFmtId="0" fontId="44" fillId="0" borderId="0" xfId="0" applyFont="1" applyAlignment="1" applyProtection="1">
      <alignment horizontal="justify"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74" zoomScaleNormal="100" workbookViewId="0">
      <selection activeCell="A192" sqref="A1:XFD1048576"/>
    </sheetView>
  </sheetViews>
  <sheetFormatPr defaultRowHeight="12.75"/>
  <cols>
    <col min="1" max="1" width="3.5703125" style="42" customWidth="1"/>
    <col min="2" max="2" width="2.7109375" style="774" customWidth="1"/>
    <col min="3" max="4" width="16.7109375" style="774" customWidth="1"/>
    <col min="5" max="5" width="45.7109375" style="774" customWidth="1"/>
    <col min="6" max="6" width="44" style="42" customWidth="1"/>
    <col min="7" max="7" width="4.7109375" style="42" customWidth="1"/>
    <col min="8" max="16384" width="9.140625" style="31"/>
  </cols>
  <sheetData>
    <row r="1" spans="1:9" s="42" customFormat="1" ht="14.45" customHeight="1">
      <c r="A1" s="919" t="str">
        <f>CONCATENATE("2011 Application Binder Tabs Checklist For: ",'Part I-Project Information'!$O$4,", ",'Part I-Project Information'!$F$22,", ",'Part I-Project Information'!$J$25," County")</f>
        <v>2011 Application Binder Tabs Checklist For: 2011-012, Veteran Senior Housing - Assisted Living, DeKalb County</v>
      </c>
      <c r="B1" s="919"/>
      <c r="C1" s="919"/>
      <c r="D1" s="919"/>
      <c r="E1" s="919"/>
      <c r="F1" s="919"/>
      <c r="G1" s="919"/>
    </row>
    <row r="2" spans="1:9" s="42" customFormat="1" ht="11.45" customHeight="1">
      <c r="A2" s="920" t="s">
        <v>712</v>
      </c>
      <c r="B2" s="921"/>
      <c r="C2" s="921"/>
      <c r="D2" s="921"/>
      <c r="E2" s="921"/>
      <c r="F2" s="921"/>
      <c r="G2" s="921"/>
    </row>
    <row r="3" spans="1:9" s="42" customFormat="1" ht="25.15" customHeight="1">
      <c r="A3" s="933" t="s">
        <v>3828</v>
      </c>
      <c r="B3" s="933"/>
      <c r="C3" s="933"/>
      <c r="D3" s="933"/>
      <c r="E3" s="933"/>
      <c r="F3" s="933"/>
      <c r="G3" s="933"/>
    </row>
    <row r="4" spans="1:9" s="42" customFormat="1" ht="8.25" customHeight="1">
      <c r="A4" s="98"/>
      <c r="B4" s="922" t="s">
        <v>1338</v>
      </c>
      <c r="C4" s="923"/>
      <c r="D4" s="923"/>
      <c r="E4" s="923" t="s">
        <v>3894</v>
      </c>
      <c r="F4" s="928"/>
      <c r="G4" s="99" t="s">
        <v>781</v>
      </c>
    </row>
    <row r="5" spans="1:9" s="42" customFormat="1" ht="8.25" customHeight="1">
      <c r="A5" s="100" t="s">
        <v>783</v>
      </c>
      <c r="B5" s="924"/>
      <c r="C5" s="925"/>
      <c r="D5" s="925"/>
      <c r="E5" s="925"/>
      <c r="F5" s="929"/>
      <c r="G5" s="101" t="s">
        <v>784</v>
      </c>
    </row>
    <row r="6" spans="1:9" s="42" customFormat="1" ht="8.25" customHeight="1">
      <c r="A6" s="102" t="s">
        <v>785</v>
      </c>
      <c r="B6" s="926"/>
      <c r="C6" s="927"/>
      <c r="D6" s="927"/>
      <c r="E6" s="927"/>
      <c r="F6" s="930"/>
      <c r="G6" s="103" t="s">
        <v>786</v>
      </c>
    </row>
    <row r="7" spans="1:9" s="42" customFormat="1" ht="3" customHeight="1">
      <c r="A7" s="100"/>
      <c r="B7" s="394"/>
      <c r="C7" s="394"/>
      <c r="D7" s="394"/>
      <c r="E7" s="306"/>
      <c r="F7" s="710"/>
      <c r="G7" s="311"/>
    </row>
    <row r="8" spans="1:9" s="42" customFormat="1" ht="12.6" customHeight="1" thickBot="1">
      <c r="A8" s="104"/>
      <c r="B8" s="711"/>
      <c r="C8" s="391"/>
      <c r="D8" s="391"/>
      <c r="E8" s="711" t="s">
        <v>1075</v>
      </c>
      <c r="F8" s="391"/>
      <c r="G8" s="750" t="s">
        <v>3928</v>
      </c>
      <c r="I8" s="751"/>
    </row>
    <row r="9" spans="1:9" s="42" customFormat="1" ht="12.6" customHeight="1" thickBot="1">
      <c r="A9" s="100"/>
      <c r="B9" s="404" t="s">
        <v>1422</v>
      </c>
      <c r="C9" s="404"/>
      <c r="D9" s="405"/>
      <c r="E9" s="306"/>
      <c r="F9" s="710"/>
      <c r="G9" s="710"/>
    </row>
    <row r="10" spans="1:9" s="42" customFormat="1" ht="12" customHeight="1">
      <c r="A10" s="387">
        <v>1</v>
      </c>
      <c r="B10" s="406" t="s">
        <v>2137</v>
      </c>
      <c r="C10" s="241"/>
      <c r="D10" s="392"/>
      <c r="E10" s="392" t="s">
        <v>2308</v>
      </c>
      <c r="F10" s="392"/>
      <c r="G10" s="750" t="s">
        <v>3928</v>
      </c>
    </row>
    <row r="11" spans="1:9" s="42" customFormat="1" ht="12" customHeight="1">
      <c r="A11" s="104"/>
      <c r="B11" s="392"/>
      <c r="C11" s="392"/>
      <c r="D11" s="392"/>
      <c r="E11" s="392" t="s">
        <v>2138</v>
      </c>
      <c r="F11" s="392"/>
      <c r="G11" s="750" t="s">
        <v>2253</v>
      </c>
    </row>
    <row r="12" spans="1:9" s="42" customFormat="1" ht="12" customHeight="1">
      <c r="A12" s="104"/>
      <c r="B12" s="392"/>
      <c r="C12" s="418"/>
      <c r="D12" s="752"/>
      <c r="E12" s="392" t="s">
        <v>804</v>
      </c>
      <c r="F12" s="391"/>
      <c r="G12" s="750" t="s">
        <v>3928</v>
      </c>
    </row>
    <row r="13" spans="1:9" s="42" customFormat="1" ht="12" customHeight="1">
      <c r="A13" s="104"/>
      <c r="B13" s="392"/>
      <c r="C13" s="392"/>
      <c r="D13" s="392"/>
      <c r="E13" s="393" t="s">
        <v>638</v>
      </c>
      <c r="F13" s="392"/>
      <c r="G13" s="750" t="s">
        <v>2253</v>
      </c>
    </row>
    <row r="14" spans="1:9" s="42" customFormat="1" ht="12" customHeight="1">
      <c r="A14" s="104"/>
      <c r="B14" s="392"/>
      <c r="C14" s="392"/>
      <c r="D14" s="392"/>
      <c r="E14" s="393" t="s">
        <v>2139</v>
      </c>
      <c r="F14" s="392"/>
      <c r="G14" s="750" t="s">
        <v>2253</v>
      </c>
    </row>
    <row r="15" spans="1:9" s="42" customFormat="1" ht="12" customHeight="1">
      <c r="A15" s="104"/>
      <c r="B15" s="392"/>
      <c r="C15" s="392"/>
      <c r="D15" s="392"/>
      <c r="E15" s="393" t="s">
        <v>805</v>
      </c>
      <c r="F15" s="392"/>
      <c r="G15" s="750" t="s">
        <v>3928</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3768</v>
      </c>
      <c r="F17" s="392"/>
      <c r="G17" s="750" t="s">
        <v>2253</v>
      </c>
    </row>
    <row r="18" spans="1:7" s="42" customFormat="1" ht="3" customHeight="1">
      <c r="A18" s="104"/>
      <c r="B18" s="241"/>
      <c r="C18" s="392"/>
      <c r="D18" s="392"/>
      <c r="E18" s="752"/>
      <c r="F18" s="392"/>
      <c r="G18" s="105"/>
    </row>
    <row r="19" spans="1:7" s="42" customFormat="1" ht="12" customHeight="1">
      <c r="A19" s="104"/>
      <c r="B19" s="241"/>
      <c r="C19" s="407" t="s">
        <v>145</v>
      </c>
      <c r="D19" s="392"/>
      <c r="E19" s="752" t="s">
        <v>146</v>
      </c>
      <c r="F19" s="392"/>
      <c r="G19" s="750" t="s">
        <v>2253</v>
      </c>
    </row>
    <row r="20" spans="1:7" s="42" customFormat="1" ht="3" customHeight="1">
      <c r="A20" s="104"/>
      <c r="B20" s="241"/>
      <c r="C20" s="392"/>
      <c r="D20" s="392"/>
      <c r="E20" s="752"/>
      <c r="F20" s="392"/>
      <c r="G20" s="105"/>
    </row>
    <row r="21" spans="1:7" s="42" customFormat="1" ht="12" customHeight="1">
      <c r="A21" s="100"/>
      <c r="B21" s="394"/>
      <c r="C21" s="407" t="s">
        <v>147</v>
      </c>
      <c r="D21" s="394"/>
      <c r="E21" s="934" t="s">
        <v>149</v>
      </c>
      <c r="F21" s="935"/>
      <c r="G21" s="750" t="s">
        <v>2253</v>
      </c>
    </row>
    <row r="22" spans="1:7" s="42" customFormat="1" ht="12" customHeight="1">
      <c r="A22" s="100"/>
      <c r="B22" s="394"/>
      <c r="C22" s="394"/>
      <c r="D22" s="394"/>
      <c r="E22" s="934" t="s">
        <v>150</v>
      </c>
      <c r="F22" s="935"/>
      <c r="G22" s="750" t="s">
        <v>2253</v>
      </c>
    </row>
    <row r="23" spans="1:7" s="42" customFormat="1" ht="12" customHeight="1">
      <c r="A23" s="100"/>
      <c r="B23" s="394"/>
      <c r="C23" s="394"/>
      <c r="D23" s="394"/>
      <c r="E23" s="396" t="s">
        <v>509</v>
      </c>
      <c r="F23" s="395"/>
      <c r="G23" s="750" t="s">
        <v>2253</v>
      </c>
    </row>
    <row r="24" spans="1:7" s="42" customFormat="1" ht="12" customHeight="1">
      <c r="A24" s="100"/>
      <c r="B24" s="394"/>
      <c r="C24" s="394"/>
      <c r="D24" s="394"/>
      <c r="E24" s="396" t="s">
        <v>510</v>
      </c>
      <c r="F24" s="395"/>
      <c r="G24" s="750" t="s">
        <v>2253</v>
      </c>
    </row>
    <row r="25" spans="1:7" s="42" customFormat="1" ht="3" customHeight="1">
      <c r="A25" s="104"/>
      <c r="B25" s="241"/>
      <c r="C25" s="392"/>
      <c r="D25" s="392"/>
      <c r="E25" s="752"/>
      <c r="F25" s="392"/>
      <c r="G25" s="105"/>
    </row>
    <row r="26" spans="1:7" s="42" customFormat="1" ht="12" customHeight="1">
      <c r="A26" s="104"/>
      <c r="B26" s="711"/>
      <c r="C26" s="407" t="s">
        <v>946</v>
      </c>
      <c r="D26" s="392"/>
      <c r="E26" s="392" t="s">
        <v>3769</v>
      </c>
      <c r="F26" s="392"/>
      <c r="G26" s="750" t="s">
        <v>2253</v>
      </c>
    </row>
    <row r="27" spans="1:7" s="42" customFormat="1" ht="12" customHeight="1">
      <c r="A27" s="104"/>
      <c r="B27" s="392"/>
      <c r="C27" s="392"/>
      <c r="D27" s="392"/>
      <c r="E27" s="752" t="s">
        <v>3503</v>
      </c>
      <c r="F27" s="392"/>
      <c r="G27" s="750" t="s">
        <v>2253</v>
      </c>
    </row>
    <row r="28" spans="1:7" s="42" customFormat="1" ht="12" customHeight="1">
      <c r="A28" s="104"/>
      <c r="B28" s="392"/>
      <c r="C28" s="418"/>
      <c r="D28" s="392"/>
      <c r="E28" s="752" t="s">
        <v>2141</v>
      </c>
      <c r="F28" s="392"/>
      <c r="G28" s="750" t="s">
        <v>2253</v>
      </c>
    </row>
    <row r="29" spans="1:7" s="42" customFormat="1" ht="12" customHeight="1">
      <c r="A29" s="104"/>
      <c r="B29" s="392"/>
      <c r="C29" s="392"/>
      <c r="D29" s="392"/>
      <c r="E29" s="752" t="s">
        <v>2142</v>
      </c>
      <c r="F29" s="392"/>
      <c r="G29" s="750" t="s">
        <v>2253</v>
      </c>
    </row>
    <row r="30" spans="1:7" s="42" customFormat="1" ht="12" customHeight="1">
      <c r="A30" s="104"/>
      <c r="B30" s="392"/>
      <c r="C30" s="392"/>
      <c r="D30" s="392"/>
      <c r="E30" s="752" t="s">
        <v>2855</v>
      </c>
      <c r="F30" s="392"/>
      <c r="G30" s="750" t="s">
        <v>2253</v>
      </c>
    </row>
    <row r="31" spans="1:7" s="42" customFormat="1" ht="12" customHeight="1">
      <c r="A31" s="104"/>
      <c r="B31" s="392"/>
      <c r="C31" s="392"/>
      <c r="D31" s="392"/>
      <c r="E31" s="752" t="s">
        <v>2856</v>
      </c>
      <c r="F31" s="392"/>
      <c r="G31" s="750" t="s">
        <v>2253</v>
      </c>
    </row>
    <row r="32" spans="1:7" s="42" customFormat="1" ht="12" customHeight="1">
      <c r="A32" s="104"/>
      <c r="B32" s="392"/>
      <c r="C32" s="392"/>
      <c r="D32" s="392"/>
      <c r="E32" s="752" t="s">
        <v>2857</v>
      </c>
      <c r="F32" s="392"/>
      <c r="G32" s="750" t="s">
        <v>2253</v>
      </c>
    </row>
    <row r="33" spans="1:7" s="42" customFormat="1" ht="3" customHeight="1">
      <c r="A33" s="104"/>
      <c r="B33" s="392"/>
      <c r="C33" s="392"/>
      <c r="D33" s="392"/>
      <c r="E33" s="752"/>
      <c r="F33" s="392"/>
      <c r="G33" s="105"/>
    </row>
    <row r="34" spans="1:7" s="42" customFormat="1" ht="12" customHeight="1">
      <c r="A34" s="100"/>
      <c r="B34" s="394"/>
      <c r="C34" s="394" t="s">
        <v>1024</v>
      </c>
      <c r="D34" s="394"/>
      <c r="E34" s="396" t="s">
        <v>3575</v>
      </c>
      <c r="F34" s="395"/>
      <c r="G34" s="750" t="s">
        <v>2253</v>
      </c>
    </row>
    <row r="35" spans="1:7" s="42" customFormat="1" ht="12" customHeight="1">
      <c r="A35" s="100"/>
      <c r="B35" s="394"/>
      <c r="C35" s="394"/>
      <c r="D35" s="394"/>
      <c r="E35" s="396" t="s">
        <v>3576</v>
      </c>
      <c r="F35" s="395"/>
      <c r="G35" s="750" t="s">
        <v>2253</v>
      </c>
    </row>
    <row r="36" spans="1:7" s="42" customFormat="1" ht="12" customHeight="1">
      <c r="A36" s="100"/>
      <c r="B36" s="394"/>
      <c r="C36" s="394"/>
      <c r="D36" s="394"/>
      <c r="E36" s="396" t="s">
        <v>184</v>
      </c>
      <c r="F36" s="395"/>
      <c r="G36" s="750" t="s">
        <v>2253</v>
      </c>
    </row>
    <row r="37" spans="1:7" s="42" customFormat="1" ht="12" customHeight="1">
      <c r="A37" s="100"/>
      <c r="B37" s="394"/>
      <c r="C37" s="394"/>
      <c r="D37" s="394"/>
      <c r="E37" s="396" t="s">
        <v>3577</v>
      </c>
      <c r="F37" s="395"/>
      <c r="G37" s="750" t="s">
        <v>2253</v>
      </c>
    </row>
    <row r="38" spans="1:7" s="42" customFormat="1" ht="12" customHeight="1">
      <c r="A38" s="104"/>
      <c r="B38" s="241"/>
      <c r="C38" s="392"/>
      <c r="D38" s="392"/>
      <c r="E38" s="396" t="s">
        <v>3500</v>
      </c>
      <c r="F38" s="392"/>
      <c r="G38" s="750" t="s">
        <v>2253</v>
      </c>
    </row>
    <row r="39" spans="1:7" s="42" customFormat="1" ht="12" customHeight="1">
      <c r="A39" s="104"/>
      <c r="B39" s="241"/>
      <c r="C39" s="392"/>
      <c r="D39" s="392"/>
      <c r="E39" s="396" t="s">
        <v>3910</v>
      </c>
      <c r="F39" s="392"/>
      <c r="G39" s="750" t="s">
        <v>2253</v>
      </c>
    </row>
    <row r="40" spans="1:7" s="42" customFormat="1" ht="12" customHeight="1">
      <c r="A40" s="100"/>
      <c r="B40" s="394"/>
      <c r="C40" s="394"/>
      <c r="D40" s="394"/>
      <c r="E40" s="396" t="s">
        <v>1905</v>
      </c>
      <c r="F40" s="395"/>
      <c r="G40" s="750" t="s">
        <v>2253</v>
      </c>
    </row>
    <row r="41" spans="1:7" s="42" customFormat="1" ht="12" customHeight="1">
      <c r="A41" s="100"/>
      <c r="B41" s="394"/>
      <c r="C41" s="394"/>
      <c r="D41" s="394"/>
      <c r="E41" s="396" t="s">
        <v>1904</v>
      </c>
      <c r="F41" s="395"/>
      <c r="G41" s="750" t="s">
        <v>2253</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750" t="s">
        <v>3928</v>
      </c>
    </row>
    <row r="44" spans="1:7" s="42" customFormat="1" ht="12" customHeight="1">
      <c r="A44" s="104"/>
      <c r="B44" s="241"/>
      <c r="C44" s="711"/>
      <c r="D44" s="392"/>
      <c r="E44" s="396" t="s">
        <v>3421</v>
      </c>
      <c r="F44" s="392"/>
      <c r="G44" s="750" t="s">
        <v>3928</v>
      </c>
    </row>
    <row r="45" spans="1:7" s="42" customFormat="1" ht="12" customHeight="1">
      <c r="A45" s="104"/>
      <c r="B45" s="241"/>
      <c r="C45" s="711"/>
      <c r="D45" s="392"/>
      <c r="E45" s="392" t="s">
        <v>3422</v>
      </c>
      <c r="F45" s="392"/>
      <c r="G45" s="750" t="s">
        <v>2253</v>
      </c>
    </row>
    <row r="46" spans="1:7" s="42" customFormat="1" ht="12" customHeight="1">
      <c r="A46" s="104"/>
      <c r="B46" s="241"/>
      <c r="C46" s="392"/>
      <c r="D46" s="392"/>
      <c r="E46" s="392" t="s">
        <v>3423</v>
      </c>
      <c r="F46" s="392"/>
      <c r="G46" s="750" t="s">
        <v>2253</v>
      </c>
    </row>
    <row r="47" spans="1:7" s="42" customFormat="1" ht="24.6" customHeight="1">
      <c r="A47" s="104"/>
      <c r="B47" s="241"/>
      <c r="C47" s="392"/>
      <c r="D47" s="392"/>
      <c r="E47" s="936" t="s">
        <v>3859</v>
      </c>
      <c r="F47" s="937"/>
      <c r="G47" s="750" t="s">
        <v>3928</v>
      </c>
    </row>
    <row r="48" spans="1:7" s="42" customFormat="1" ht="12" customHeight="1">
      <c r="A48" s="104"/>
      <c r="B48" s="241"/>
      <c r="C48" s="392"/>
      <c r="D48" s="392"/>
      <c r="E48" s="392" t="s">
        <v>3484</v>
      </c>
      <c r="F48" s="396"/>
      <c r="G48" s="750" t="s">
        <v>3928</v>
      </c>
    </row>
    <row r="49" spans="1:7" s="42" customFormat="1" ht="12" customHeight="1">
      <c r="A49" s="104"/>
      <c r="B49" s="241"/>
      <c r="C49" s="392"/>
      <c r="D49" s="392"/>
      <c r="E49" s="396" t="s">
        <v>3424</v>
      </c>
      <c r="F49" s="396"/>
      <c r="G49" s="750" t="s">
        <v>3928</v>
      </c>
    </row>
    <row r="50" spans="1:7" s="42" customFormat="1" ht="12" customHeight="1">
      <c r="A50" s="107"/>
      <c r="B50" s="241"/>
      <c r="C50" s="392"/>
      <c r="D50" s="392"/>
      <c r="E50" s="918" t="s">
        <v>466</v>
      </c>
      <c r="F50" s="917"/>
      <c r="G50" s="750" t="s">
        <v>2253</v>
      </c>
    </row>
    <row r="51" spans="1:7" s="42" customFormat="1" ht="12" customHeight="1">
      <c r="A51" s="387">
        <v>4</v>
      </c>
      <c r="B51" s="753" t="s">
        <v>1022</v>
      </c>
      <c r="C51" s="392"/>
      <c r="D51" s="392"/>
      <c r="E51" s="752" t="s">
        <v>1411</v>
      </c>
      <c r="F51" s="392"/>
      <c r="G51" s="750" t="s">
        <v>3928</v>
      </c>
    </row>
    <row r="52" spans="1:7" s="42" customFormat="1" ht="12" customHeight="1">
      <c r="A52" s="387"/>
      <c r="B52" s="753"/>
      <c r="C52" s="392"/>
      <c r="D52" s="392"/>
      <c r="E52" s="752" t="s">
        <v>3583</v>
      </c>
      <c r="F52" s="392"/>
      <c r="G52" s="750" t="s">
        <v>2253</v>
      </c>
    </row>
    <row r="53" spans="1:7" s="42" customFormat="1" ht="12.6" customHeight="1">
      <c r="A53" s="104"/>
      <c r="B53" s="392"/>
      <c r="C53" s="392"/>
      <c r="D53" s="752"/>
      <c r="E53" s="397" t="s">
        <v>3546</v>
      </c>
      <c r="F53" s="396"/>
      <c r="G53" s="750" t="s">
        <v>2253</v>
      </c>
    </row>
    <row r="54" spans="1:7" s="42" customFormat="1" ht="12.6" customHeight="1">
      <c r="A54" s="104"/>
      <c r="B54" s="392"/>
      <c r="C54" s="392"/>
      <c r="D54" s="752"/>
      <c r="E54" s="397" t="s">
        <v>3766</v>
      </c>
      <c r="F54" s="392"/>
      <c r="G54" s="750" t="s">
        <v>2253</v>
      </c>
    </row>
    <row r="55" spans="1:7" s="42" customFormat="1" ht="12" customHeight="1">
      <c r="A55" s="387"/>
      <c r="B55" s="753"/>
      <c r="C55" s="392"/>
      <c r="D55" s="392"/>
      <c r="E55" s="752" t="s">
        <v>2655</v>
      </c>
      <c r="F55" s="392"/>
      <c r="G55" s="750" t="s">
        <v>2253</v>
      </c>
    </row>
    <row r="56" spans="1:7" s="42" customFormat="1" ht="12" customHeight="1">
      <c r="A56" s="387"/>
      <c r="B56" s="753"/>
      <c r="C56" s="392"/>
      <c r="D56" s="392"/>
      <c r="E56" s="752" t="s">
        <v>3504</v>
      </c>
      <c r="F56" s="392"/>
      <c r="G56" s="750" t="s">
        <v>2253</v>
      </c>
    </row>
    <row r="57" spans="1:7" s="42" customFormat="1" ht="12" customHeight="1">
      <c r="A57" s="387"/>
      <c r="B57" s="753"/>
      <c r="C57" s="392"/>
      <c r="D57" s="392"/>
      <c r="E57" s="752" t="s">
        <v>2656</v>
      </c>
      <c r="F57" s="392"/>
      <c r="G57" s="750" t="s">
        <v>2253</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2689</v>
      </c>
      <c r="F59" s="398"/>
      <c r="G59" s="750" t="s">
        <v>3928</v>
      </c>
    </row>
    <row r="60" spans="1:7" s="42" customFormat="1" ht="12" customHeight="1">
      <c r="A60" s="387"/>
      <c r="B60" s="406"/>
      <c r="C60" s="392"/>
      <c r="D60" s="392"/>
      <c r="E60" s="398" t="s">
        <v>1841</v>
      </c>
      <c r="F60" s="398"/>
      <c r="G60" s="750" t="s">
        <v>2253</v>
      </c>
    </row>
    <row r="61" spans="1:7" s="42" customFormat="1" ht="12" customHeight="1">
      <c r="A61" s="387"/>
      <c r="B61" s="406"/>
      <c r="C61" s="392"/>
      <c r="D61" s="392"/>
      <c r="E61" s="398" t="s">
        <v>1842</v>
      </c>
      <c r="F61" s="398"/>
      <c r="G61" s="750" t="s">
        <v>2253</v>
      </c>
    </row>
    <row r="62" spans="1:7" s="42" customFormat="1" ht="12" customHeight="1">
      <c r="A62" s="387"/>
      <c r="B62" s="406"/>
      <c r="C62" s="392"/>
      <c r="D62" s="392"/>
      <c r="E62" s="398" t="s">
        <v>1843</v>
      </c>
      <c r="F62" s="398"/>
      <c r="G62" s="750" t="s">
        <v>2253</v>
      </c>
    </row>
    <row r="63" spans="1:7" s="42" customFormat="1" ht="12" customHeight="1">
      <c r="A63" s="387"/>
      <c r="B63" s="406"/>
      <c r="C63" s="392"/>
      <c r="D63" s="392"/>
      <c r="E63" s="398" t="s">
        <v>2736</v>
      </c>
      <c r="F63" s="398"/>
      <c r="G63" s="750" t="s">
        <v>2253</v>
      </c>
    </row>
    <row r="64" spans="1:7" s="42" customFormat="1" ht="12" customHeight="1">
      <c r="A64" s="104"/>
      <c r="B64" s="392"/>
      <c r="C64" s="392"/>
      <c r="D64" s="392"/>
      <c r="E64" s="752" t="s">
        <v>1844</v>
      </c>
      <c r="F64" s="398"/>
      <c r="G64" s="750" t="s">
        <v>2253</v>
      </c>
    </row>
    <row r="65" spans="1:7" s="42" customFormat="1" ht="12" customHeight="1">
      <c r="A65" s="104"/>
      <c r="B65" s="392"/>
      <c r="C65" s="392"/>
      <c r="D65" s="392"/>
      <c r="E65" s="752" t="s">
        <v>1845</v>
      </c>
      <c r="F65" s="392"/>
      <c r="G65" s="750" t="s">
        <v>2253</v>
      </c>
    </row>
    <row r="66" spans="1:7" s="42" customFormat="1" ht="12" customHeight="1">
      <c r="A66" s="104"/>
      <c r="B66" s="392"/>
      <c r="C66" s="418"/>
      <c r="D66" s="392"/>
      <c r="E66" s="931" t="s">
        <v>1846</v>
      </c>
      <c r="F66" s="932"/>
      <c r="G66" s="750" t="s">
        <v>2253</v>
      </c>
    </row>
    <row r="67" spans="1:7" s="42" customFormat="1" ht="12" customHeight="1">
      <c r="A67" s="104"/>
      <c r="B67" s="392"/>
      <c r="C67" s="418"/>
      <c r="D67" s="392"/>
      <c r="E67" s="441" t="s">
        <v>1847</v>
      </c>
      <c r="F67" s="399"/>
      <c r="G67" s="750" t="s">
        <v>2253</v>
      </c>
    </row>
    <row r="68" spans="1:7" s="42" customFormat="1" ht="12" customHeight="1">
      <c r="A68" s="104"/>
      <c r="B68" s="392"/>
      <c r="C68" s="392"/>
      <c r="D68" s="392"/>
      <c r="E68" s="752" t="s">
        <v>1901</v>
      </c>
      <c r="F68" s="398"/>
      <c r="G68" s="750" t="s">
        <v>2253</v>
      </c>
    </row>
    <row r="69" spans="1:7" s="42" customFormat="1" ht="12" customHeight="1">
      <c r="A69" s="104"/>
      <c r="B69" s="392"/>
      <c r="C69" s="392"/>
      <c r="D69" s="392"/>
      <c r="E69" s="752" t="s">
        <v>1848</v>
      </c>
      <c r="F69" s="398"/>
      <c r="G69" s="750" t="s">
        <v>2253</v>
      </c>
    </row>
    <row r="70" spans="1:7" s="42" customFormat="1" ht="12" customHeight="1">
      <c r="A70" s="104"/>
      <c r="B70" s="392"/>
      <c r="C70" s="392"/>
      <c r="D70" s="392"/>
      <c r="E70" s="398" t="s">
        <v>1849</v>
      </c>
      <c r="F70" s="398"/>
      <c r="G70" s="750" t="s">
        <v>2253</v>
      </c>
    </row>
    <row r="71" spans="1:7" s="42" customFormat="1" ht="12" customHeight="1">
      <c r="A71" s="104"/>
      <c r="B71" s="392"/>
      <c r="C71" s="392"/>
      <c r="D71" s="392"/>
      <c r="E71" s="398" t="s">
        <v>320</v>
      </c>
      <c r="F71" s="398"/>
      <c r="G71" s="750" t="s">
        <v>2253</v>
      </c>
    </row>
    <row r="72" spans="1:7" s="42" customFormat="1" ht="12" customHeight="1">
      <c r="A72" s="104"/>
      <c r="B72" s="392"/>
      <c r="C72" s="392"/>
      <c r="D72" s="392"/>
      <c r="E72" s="398" t="s">
        <v>640</v>
      </c>
      <c r="F72" s="398"/>
      <c r="G72" s="750" t="s">
        <v>2253</v>
      </c>
    </row>
    <row r="73" spans="1:7" s="42" customFormat="1" ht="12" customHeight="1">
      <c r="A73" s="104"/>
      <c r="B73" s="392"/>
      <c r="C73" s="413"/>
      <c r="D73" s="413"/>
      <c r="E73" s="396" t="s">
        <v>1903</v>
      </c>
      <c r="F73" s="400"/>
      <c r="G73" s="750" t="s">
        <v>2253</v>
      </c>
    </row>
    <row r="74" spans="1:7" s="42" customFormat="1" ht="12" customHeight="1">
      <c r="A74" s="104"/>
      <c r="B74" s="392"/>
      <c r="C74" s="392"/>
      <c r="D74" s="392"/>
      <c r="E74" s="398" t="s">
        <v>3513</v>
      </c>
      <c r="F74" s="398"/>
      <c r="G74" s="750" t="s">
        <v>2253</v>
      </c>
    </row>
    <row r="75" spans="1:7" s="42" customFormat="1" ht="6" customHeight="1">
      <c r="A75" s="104"/>
      <c r="B75" s="392"/>
      <c r="C75" s="392"/>
      <c r="D75" s="392"/>
      <c r="E75" s="752"/>
      <c r="F75" s="398"/>
      <c r="G75" s="147"/>
    </row>
    <row r="76" spans="1:7" s="42" customFormat="1" ht="12" customHeight="1">
      <c r="A76" s="387">
        <v>6</v>
      </c>
      <c r="B76" s="412" t="s">
        <v>1023</v>
      </c>
      <c r="C76" s="241"/>
      <c r="D76" s="392"/>
      <c r="E76" s="392" t="s">
        <v>3505</v>
      </c>
      <c r="F76" s="392"/>
      <c r="G76" s="750" t="s">
        <v>2253</v>
      </c>
    </row>
    <row r="77" spans="1:7" s="42" customFormat="1" ht="12" customHeight="1">
      <c r="A77" s="104"/>
      <c r="B77" s="392"/>
      <c r="C77" s="413"/>
      <c r="D77" s="413"/>
      <c r="E77" s="396" t="s">
        <v>3860</v>
      </c>
      <c r="F77" s="400"/>
      <c r="G77" s="750" t="s">
        <v>2253</v>
      </c>
    </row>
    <row r="78" spans="1:7" s="42" customFormat="1" ht="12" customHeight="1">
      <c r="A78" s="104"/>
      <c r="B78" s="392"/>
      <c r="C78" s="413"/>
      <c r="D78" s="413"/>
      <c r="E78" s="396" t="s">
        <v>3861</v>
      </c>
      <c r="F78" s="400"/>
      <c r="G78" s="750" t="s">
        <v>2253</v>
      </c>
    </row>
    <row r="79" spans="1:7" s="42" customFormat="1" ht="12" customHeight="1">
      <c r="A79" s="104"/>
      <c r="B79" s="392"/>
      <c r="C79" s="392"/>
      <c r="D79" s="392"/>
      <c r="E79" s="392" t="s">
        <v>3862</v>
      </c>
      <c r="F79" s="392"/>
      <c r="G79" s="750"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750" t="s">
        <v>3928</v>
      </c>
    </row>
    <row r="82" spans="1:7" s="42" customFormat="1" ht="6" customHeight="1">
      <c r="A82" s="104"/>
      <c r="B82" s="241"/>
      <c r="C82" s="711"/>
      <c r="D82" s="392"/>
      <c r="E82" s="398"/>
      <c r="F82" s="398"/>
      <c r="G82" s="147"/>
    </row>
    <row r="83" spans="1:7" s="42" customFormat="1" ht="12" customHeight="1">
      <c r="A83" s="387">
        <v>8</v>
      </c>
      <c r="B83" s="408" t="s">
        <v>3426</v>
      </c>
      <c r="C83" s="241"/>
      <c r="D83" s="392"/>
      <c r="E83" s="398" t="s">
        <v>1902</v>
      </c>
      <c r="F83" s="398"/>
      <c r="G83" s="750" t="s">
        <v>3928</v>
      </c>
    </row>
    <row r="84" spans="1:7" s="42" customFormat="1" ht="12" customHeight="1">
      <c r="A84" s="104"/>
      <c r="B84" s="241"/>
      <c r="C84" s="711"/>
      <c r="D84" s="392"/>
      <c r="E84" s="398" t="s">
        <v>3796</v>
      </c>
      <c r="F84" s="398"/>
      <c r="G84" s="750" t="s">
        <v>3928</v>
      </c>
    </row>
    <row r="85" spans="1:7" s="42" customFormat="1" ht="6" customHeight="1">
      <c r="A85" s="104"/>
      <c r="B85" s="711"/>
      <c r="C85" s="392"/>
      <c r="D85" s="392"/>
      <c r="E85" s="752"/>
      <c r="F85" s="398"/>
      <c r="G85" s="314"/>
    </row>
    <row r="86" spans="1:7" s="42" customFormat="1" ht="12" customHeight="1">
      <c r="A86" s="387">
        <v>9</v>
      </c>
      <c r="B86" s="406" t="s">
        <v>3703</v>
      </c>
      <c r="C86" s="241"/>
      <c r="D86" s="392"/>
      <c r="E86" s="752" t="s">
        <v>3881</v>
      </c>
      <c r="F86" s="398"/>
      <c r="G86" s="750" t="s">
        <v>3928</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750"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916" t="s">
        <v>3886</v>
      </c>
      <c r="F90" s="938"/>
      <c r="G90" s="750" t="s">
        <v>3928</v>
      </c>
    </row>
    <row r="91" spans="1:7" s="42" customFormat="1" ht="12" customHeight="1">
      <c r="A91" s="107"/>
      <c r="B91" s="392"/>
      <c r="C91" s="391"/>
      <c r="D91" s="752"/>
      <c r="E91" s="392" t="s">
        <v>305</v>
      </c>
      <c r="F91" s="392"/>
      <c r="G91" s="750" t="s">
        <v>2253</v>
      </c>
    </row>
    <row r="92" spans="1:7" s="42" customFormat="1" ht="12" customHeight="1">
      <c r="A92" s="387">
        <v>12</v>
      </c>
      <c r="B92" s="406" t="s">
        <v>1600</v>
      </c>
      <c r="C92" s="241"/>
      <c r="D92" s="392"/>
      <c r="E92" s="396" t="s">
        <v>3464</v>
      </c>
      <c r="F92" s="398"/>
      <c r="G92" s="750" t="s">
        <v>3928</v>
      </c>
    </row>
    <row r="93" spans="1:7" s="42" customFormat="1" ht="12" customHeight="1">
      <c r="A93" s="104"/>
      <c r="B93" s="396"/>
      <c r="C93" s="241"/>
      <c r="D93" s="396"/>
      <c r="E93" s="396" t="s">
        <v>724</v>
      </c>
      <c r="F93" s="402"/>
      <c r="G93" s="750" t="s">
        <v>3928</v>
      </c>
    </row>
    <row r="94" spans="1:7" s="42" customFormat="1" ht="12" customHeight="1">
      <c r="A94" s="104"/>
      <c r="B94" s="392"/>
      <c r="C94" s="241"/>
      <c r="D94" s="392"/>
      <c r="E94" s="396" t="s">
        <v>3882</v>
      </c>
      <c r="F94" s="398"/>
      <c r="G94" s="750"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750" t="s">
        <v>3928</v>
      </c>
    </row>
    <row r="97" spans="1:7" s="42" customFormat="1" ht="12" customHeight="1">
      <c r="A97" s="104"/>
      <c r="B97" s="241"/>
      <c r="C97" s="241"/>
      <c r="D97" s="392"/>
      <c r="E97" s="392" t="s">
        <v>3331</v>
      </c>
      <c r="F97" s="392"/>
      <c r="G97" s="750" t="s">
        <v>2253</v>
      </c>
    </row>
    <row r="98" spans="1:7" s="42" customFormat="1" ht="12" customHeight="1">
      <c r="A98" s="104"/>
      <c r="B98" s="392"/>
      <c r="C98" s="241"/>
      <c r="D98" s="392"/>
      <c r="E98" s="392" t="s">
        <v>3271</v>
      </c>
      <c r="F98" s="392"/>
      <c r="G98" s="750" t="s">
        <v>2253</v>
      </c>
    </row>
    <row r="99" spans="1:7" s="42" customFormat="1" ht="12" customHeight="1">
      <c r="A99" s="104"/>
      <c r="B99" s="391"/>
      <c r="C99" s="241"/>
      <c r="D99" s="392"/>
      <c r="E99" s="396" t="s">
        <v>3272</v>
      </c>
      <c r="F99" s="402"/>
      <c r="G99" s="750"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918" t="s">
        <v>71</v>
      </c>
      <c r="F101" s="918"/>
      <c r="G101" s="750" t="s">
        <v>3928</v>
      </c>
    </row>
    <row r="102" spans="1:7" s="42" customFormat="1" ht="12" customHeight="1">
      <c r="A102" s="104"/>
      <c r="B102" s="391"/>
      <c r="C102" s="241"/>
      <c r="D102" s="396"/>
      <c r="E102" s="918" t="s">
        <v>908</v>
      </c>
      <c r="F102" s="917"/>
      <c r="G102" s="750" t="s">
        <v>3928</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3506</v>
      </c>
      <c r="F104" s="402"/>
      <c r="G104" s="750" t="s">
        <v>2253</v>
      </c>
    </row>
    <row r="105" spans="1:7" s="42" customFormat="1" ht="12" customHeight="1">
      <c r="A105" s="104"/>
      <c r="B105" s="396"/>
      <c r="C105" s="241"/>
      <c r="D105" s="396"/>
      <c r="E105" s="397" t="s">
        <v>3767</v>
      </c>
      <c r="F105" s="392"/>
      <c r="G105" s="750" t="s">
        <v>2253</v>
      </c>
    </row>
    <row r="106" spans="1:7" s="42" customFormat="1" ht="12" customHeight="1">
      <c r="A106" s="104"/>
      <c r="B106" s="392"/>
      <c r="C106" s="241"/>
      <c r="D106" s="752"/>
      <c r="E106" s="392" t="s">
        <v>3507</v>
      </c>
      <c r="F106" s="392"/>
      <c r="G106" s="750" t="s">
        <v>3928</v>
      </c>
    </row>
    <row r="107" spans="1:7" s="42" customFormat="1" ht="12" customHeight="1">
      <c r="A107" s="104"/>
      <c r="B107" s="391"/>
      <c r="C107" s="241"/>
      <c r="D107" s="392"/>
      <c r="E107" s="392" t="s">
        <v>1651</v>
      </c>
      <c r="F107" s="392"/>
      <c r="G107" s="750" t="s">
        <v>3928</v>
      </c>
    </row>
    <row r="108" spans="1:7" s="42" customFormat="1" ht="12" customHeight="1">
      <c r="A108" s="104"/>
      <c r="B108" s="392"/>
      <c r="C108" s="241"/>
      <c r="D108" s="392"/>
      <c r="E108" s="396" t="s">
        <v>1652</v>
      </c>
      <c r="F108" s="402"/>
      <c r="G108" s="750" t="s">
        <v>3928</v>
      </c>
    </row>
    <row r="109" spans="1:7" s="42" customFormat="1" ht="12" customHeight="1">
      <c r="A109" s="104"/>
      <c r="B109" s="396"/>
      <c r="C109" s="241"/>
      <c r="D109" s="396"/>
      <c r="E109" s="396" t="s">
        <v>731</v>
      </c>
      <c r="F109" s="402"/>
      <c r="G109" s="750" t="s">
        <v>2253</v>
      </c>
    </row>
    <row r="110" spans="1:7" s="42" customFormat="1" ht="12" customHeight="1">
      <c r="A110" s="104"/>
      <c r="B110" s="396"/>
      <c r="C110" s="241"/>
      <c r="D110" s="396"/>
      <c r="E110" s="396" t="s">
        <v>3465</v>
      </c>
      <c r="F110" s="402"/>
      <c r="G110" s="750" t="s">
        <v>2253</v>
      </c>
    </row>
    <row r="111" spans="1:7" s="42" customFormat="1" ht="6" customHeight="1">
      <c r="A111" s="100"/>
      <c r="B111" s="394"/>
      <c r="C111" s="394"/>
      <c r="D111" s="394"/>
      <c r="E111" s="394"/>
      <c r="F111" s="395"/>
      <c r="G111" s="312"/>
    </row>
    <row r="112" spans="1:7" ht="12" customHeight="1">
      <c r="A112" s="387">
        <v>16</v>
      </c>
      <c r="B112" s="909" t="s">
        <v>192</v>
      </c>
      <c r="C112" s="910"/>
      <c r="D112" s="910"/>
      <c r="E112" s="396" t="s">
        <v>1909</v>
      </c>
      <c r="F112" s="396"/>
      <c r="G112" s="750" t="s">
        <v>3928</v>
      </c>
    </row>
    <row r="113" spans="1:7" s="42" customFormat="1" ht="12" customHeight="1">
      <c r="A113" s="104"/>
      <c r="B113" s="909"/>
      <c r="C113" s="910"/>
      <c r="D113" s="910"/>
      <c r="E113" s="396" t="s">
        <v>1910</v>
      </c>
      <c r="F113" s="396"/>
      <c r="G113" s="750" t="s">
        <v>3928</v>
      </c>
    </row>
    <row r="114" spans="1:7" s="42" customFormat="1" ht="12" customHeight="1">
      <c r="A114" s="104"/>
      <c r="B114" s="909"/>
      <c r="C114" s="910"/>
      <c r="D114" s="910"/>
      <c r="E114" s="396" t="s">
        <v>1913</v>
      </c>
      <c r="F114" s="396"/>
      <c r="G114" s="750"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3547</v>
      </c>
      <c r="F116" s="398"/>
      <c r="G116" s="750" t="s">
        <v>2253</v>
      </c>
    </row>
    <row r="117" spans="1:7" s="42" customFormat="1" ht="12" customHeight="1">
      <c r="A117" s="104"/>
      <c r="B117" s="602" t="s">
        <v>3081</v>
      </c>
      <c r="C117" s="241"/>
      <c r="D117" s="754"/>
      <c r="E117" s="403" t="s">
        <v>3548</v>
      </c>
      <c r="F117" s="398"/>
      <c r="G117" s="750" t="s">
        <v>2253</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750" t="s">
        <v>3928</v>
      </c>
    </row>
    <row r="120" spans="1:7" s="42" customFormat="1" ht="12" customHeight="1">
      <c r="A120" s="387"/>
      <c r="B120" s="602" t="s">
        <v>3396</v>
      </c>
      <c r="C120" s="406"/>
      <c r="D120" s="392"/>
      <c r="E120" s="393" t="s">
        <v>2527</v>
      </c>
      <c r="F120" s="392"/>
      <c r="G120" s="750" t="s">
        <v>3928</v>
      </c>
    </row>
    <row r="121" spans="1:7" s="42" customFormat="1" ht="12" customHeight="1">
      <c r="A121" s="104"/>
      <c r="B121" s="241"/>
      <c r="C121" s="392"/>
      <c r="D121" s="392"/>
      <c r="E121" s="392" t="s">
        <v>3305</v>
      </c>
      <c r="F121" s="392"/>
      <c r="G121" s="750" t="s">
        <v>3928</v>
      </c>
    </row>
    <row r="122" spans="1:7" s="42" customFormat="1" ht="12" customHeight="1">
      <c r="A122" s="104"/>
      <c r="B122" s="392"/>
      <c r="C122" s="392"/>
      <c r="D122" s="392"/>
      <c r="E122" s="392" t="s">
        <v>3883</v>
      </c>
      <c r="F122" s="392"/>
      <c r="G122" s="750" t="s">
        <v>3928</v>
      </c>
    </row>
    <row r="123" spans="1:7" s="42" customFormat="1" ht="6" customHeight="1">
      <c r="A123" s="100"/>
      <c r="B123" s="394"/>
      <c r="C123" s="394"/>
      <c r="D123" s="394"/>
      <c r="E123" s="394"/>
      <c r="F123" s="395"/>
      <c r="G123" s="311"/>
    </row>
    <row r="124" spans="1:7" s="42" customFormat="1" ht="12.6" customHeight="1">
      <c r="A124" s="387">
        <v>19</v>
      </c>
      <c r="B124" s="414" t="s">
        <v>2866</v>
      </c>
      <c r="C124" s="752"/>
      <c r="D124" s="752"/>
      <c r="E124" s="396" t="s">
        <v>3520</v>
      </c>
      <c r="F124" s="396"/>
      <c r="G124" s="750" t="s">
        <v>3928</v>
      </c>
    </row>
    <row r="125" spans="1:7" s="42" customFormat="1" ht="12" customHeight="1">
      <c r="A125" s="104"/>
      <c r="B125" s="396"/>
      <c r="C125" s="391"/>
      <c r="D125" s="396"/>
      <c r="E125" s="396" t="s">
        <v>890</v>
      </c>
      <c r="F125" s="396"/>
      <c r="G125" s="750" t="s">
        <v>3928</v>
      </c>
    </row>
    <row r="126" spans="1:7" s="42" customFormat="1" ht="12" customHeight="1">
      <c r="A126" s="104"/>
      <c r="B126" s="396"/>
      <c r="C126" s="391"/>
      <c r="D126" s="396"/>
      <c r="E126" s="396" t="s">
        <v>3521</v>
      </c>
      <c r="F126" s="396"/>
      <c r="G126" s="750" t="s">
        <v>2253</v>
      </c>
    </row>
    <row r="127" spans="1:7" s="42" customFormat="1" ht="12" customHeight="1">
      <c r="A127" s="104"/>
      <c r="B127" s="396"/>
      <c r="C127" s="415"/>
      <c r="D127" s="396"/>
      <c r="E127" s="396" t="s">
        <v>3522</v>
      </c>
      <c r="F127" s="396"/>
      <c r="G127" s="750" t="s">
        <v>2253</v>
      </c>
    </row>
    <row r="128" spans="1:7" s="42" customFormat="1" ht="12" customHeight="1">
      <c r="A128" s="104"/>
      <c r="B128" s="396"/>
      <c r="C128" s="396"/>
      <c r="D128" s="416"/>
      <c r="E128" s="396" t="s">
        <v>3523</v>
      </c>
      <c r="F128" s="396"/>
      <c r="G128" s="750" t="s">
        <v>2253</v>
      </c>
    </row>
    <row r="129" spans="1:7" s="42" customFormat="1" ht="12" customHeight="1">
      <c r="A129" s="104"/>
      <c r="B129" s="396"/>
      <c r="C129" s="396"/>
      <c r="D129" s="416"/>
      <c r="E129" s="396" t="s">
        <v>3524</v>
      </c>
      <c r="F129" s="396"/>
      <c r="G129" s="750" t="s">
        <v>2253</v>
      </c>
    </row>
    <row r="130" spans="1:7" s="755" customFormat="1" ht="12" customHeight="1">
      <c r="A130" s="104"/>
      <c r="B130" s="396"/>
      <c r="C130" s="396"/>
      <c r="D130" s="416"/>
      <c r="E130" s="396" t="s">
        <v>3544</v>
      </c>
      <c r="F130" s="396"/>
      <c r="G130" s="750" t="s">
        <v>3928</v>
      </c>
    </row>
    <row r="131" spans="1:7" s="42" customFormat="1" ht="24.6" customHeight="1">
      <c r="A131" s="107"/>
      <c r="B131" s="396"/>
      <c r="C131" s="396"/>
      <c r="D131" s="396"/>
      <c r="E131" s="918" t="s">
        <v>3545</v>
      </c>
      <c r="F131" s="917"/>
      <c r="G131" s="750" t="s">
        <v>3928</v>
      </c>
    </row>
    <row r="132" spans="1:7" s="42" customFormat="1" ht="12.6" customHeight="1">
      <c r="A132" s="387">
        <v>20</v>
      </c>
      <c r="B132" s="414" t="s">
        <v>823</v>
      </c>
      <c r="C132" s="752"/>
      <c r="D132" s="752"/>
      <c r="E132" s="396" t="s">
        <v>467</v>
      </c>
      <c r="F132" s="396"/>
      <c r="G132" s="750" t="s">
        <v>3928</v>
      </c>
    </row>
    <row r="133" spans="1:7" s="42" customFormat="1" ht="12" customHeight="1">
      <c r="A133" s="104"/>
      <c r="B133" s="396"/>
      <c r="C133" s="391"/>
      <c r="D133" s="396"/>
      <c r="E133" s="396" t="s">
        <v>3664</v>
      </c>
      <c r="F133" s="396"/>
      <c r="G133" s="750" t="s">
        <v>3928</v>
      </c>
    </row>
    <row r="134" spans="1:7" s="42" customFormat="1" ht="12" customHeight="1">
      <c r="A134" s="104"/>
      <c r="B134" s="396"/>
      <c r="C134" s="415"/>
      <c r="D134" s="396"/>
      <c r="E134" s="396" t="s">
        <v>722</v>
      </c>
      <c r="F134" s="396"/>
      <c r="G134" s="750" t="s">
        <v>3928</v>
      </c>
    </row>
    <row r="135" spans="1:7" s="42" customFormat="1" ht="12" customHeight="1">
      <c r="A135" s="104"/>
      <c r="B135" s="396"/>
      <c r="C135" s="396"/>
      <c r="D135" s="416"/>
      <c r="E135" s="396" t="s">
        <v>723</v>
      </c>
      <c r="F135" s="396"/>
      <c r="G135" s="750" t="s">
        <v>3928</v>
      </c>
    </row>
    <row r="136" spans="1:7" s="42" customFormat="1" ht="12" customHeight="1">
      <c r="A136" s="104"/>
      <c r="B136" s="396"/>
      <c r="C136" s="396"/>
      <c r="D136" s="416"/>
      <c r="E136" s="396" t="s">
        <v>989</v>
      </c>
      <c r="F136" s="396"/>
      <c r="G136" s="750" t="s">
        <v>3928</v>
      </c>
    </row>
    <row r="137" spans="1:7" s="755" customFormat="1" ht="12" customHeight="1">
      <c r="A137" s="104"/>
      <c r="B137" s="396"/>
      <c r="C137" s="396"/>
      <c r="D137" s="416"/>
      <c r="E137" s="396" t="s">
        <v>2292</v>
      </c>
      <c r="F137" s="396"/>
      <c r="G137" s="750" t="s">
        <v>3928</v>
      </c>
    </row>
    <row r="138" spans="1:7" s="42" customFormat="1" ht="12" customHeight="1">
      <c r="A138" s="104"/>
      <c r="B138" s="396"/>
      <c r="C138" s="396"/>
      <c r="D138" s="396"/>
      <c r="E138" s="711" t="s">
        <v>3574</v>
      </c>
      <c r="F138" s="402"/>
      <c r="G138" s="750" t="s">
        <v>3928</v>
      </c>
    </row>
    <row r="139" spans="1:7" s="42" customFormat="1" ht="6" customHeight="1">
      <c r="A139" s="100"/>
      <c r="B139" s="394"/>
      <c r="C139" s="394"/>
      <c r="D139" s="394"/>
      <c r="E139" s="394"/>
      <c r="F139" s="395"/>
      <c r="G139" s="312"/>
    </row>
    <row r="140" spans="1:7" ht="11.45" customHeight="1">
      <c r="A140" s="387">
        <v>21</v>
      </c>
      <c r="B140" s="414" t="s">
        <v>2529</v>
      </c>
      <c r="C140" s="752"/>
      <c r="D140" s="752"/>
      <c r="E140" s="396" t="s">
        <v>3202</v>
      </c>
      <c r="F140" s="396"/>
      <c r="G140" s="750" t="s">
        <v>3928</v>
      </c>
    </row>
    <row r="141" spans="1:7" s="42" customFormat="1" ht="11.45" customHeight="1">
      <c r="A141" s="104"/>
      <c r="B141" s="241"/>
      <c r="C141" s="241"/>
      <c r="D141" s="396"/>
      <c r="E141" s="396" t="s">
        <v>2837</v>
      </c>
      <c r="F141" s="396"/>
      <c r="G141" s="750" t="s">
        <v>2253</v>
      </c>
    </row>
    <row r="142" spans="1:7" s="42" customFormat="1" ht="11.45" customHeight="1">
      <c r="A142" s="104"/>
      <c r="B142" s="396"/>
      <c r="C142" s="396"/>
      <c r="D142" s="396"/>
      <c r="E142" s="396" t="s">
        <v>3078</v>
      </c>
      <c r="F142" s="396"/>
      <c r="G142" s="750" t="s">
        <v>2253</v>
      </c>
    </row>
    <row r="143" spans="1:7" s="42" customFormat="1" ht="11.45" customHeight="1">
      <c r="A143" s="104"/>
      <c r="B143" s="396"/>
      <c r="C143" s="396"/>
      <c r="D143" s="396"/>
      <c r="E143" s="396" t="s">
        <v>1914</v>
      </c>
      <c r="F143" s="396"/>
      <c r="G143" s="750" t="s">
        <v>2253</v>
      </c>
    </row>
    <row r="144" spans="1:7" s="42" customFormat="1" ht="11.45" customHeight="1">
      <c r="A144" s="104"/>
      <c r="B144" s="396"/>
      <c r="C144" s="396"/>
      <c r="D144" s="396"/>
      <c r="E144" s="396" t="s">
        <v>1912</v>
      </c>
      <c r="F144" s="396"/>
      <c r="G144" s="750" t="s">
        <v>2253</v>
      </c>
    </row>
    <row r="145" spans="1:7" s="42" customFormat="1" ht="5.45" customHeight="1">
      <c r="A145" s="100"/>
      <c r="B145" s="394"/>
      <c r="C145" s="394"/>
      <c r="D145" s="394"/>
      <c r="E145" s="394"/>
      <c r="F145" s="395"/>
      <c r="G145" s="312"/>
    </row>
    <row r="146" spans="1:7" s="42" customFormat="1" ht="12" customHeight="1">
      <c r="A146" s="387">
        <v>22</v>
      </c>
      <c r="B146" s="414" t="s">
        <v>519</v>
      </c>
      <c r="C146" s="752"/>
      <c r="D146" s="752"/>
      <c r="E146" s="396" t="s">
        <v>2196</v>
      </c>
      <c r="F146" s="392"/>
      <c r="G146" s="750" t="s">
        <v>2253</v>
      </c>
    </row>
    <row r="147" spans="1:7" s="42" customFormat="1" ht="12" customHeight="1">
      <c r="A147" s="104"/>
      <c r="B147" s="241"/>
      <c r="C147" s="241"/>
      <c r="D147" s="241"/>
      <c r="E147" s="396" t="s">
        <v>3310</v>
      </c>
      <c r="F147" s="392"/>
      <c r="G147" s="750" t="s">
        <v>2253</v>
      </c>
    </row>
    <row r="148" spans="1:7" s="42" customFormat="1" ht="12" customHeight="1">
      <c r="A148" s="104"/>
      <c r="B148" s="241"/>
      <c r="C148" s="241"/>
      <c r="D148" s="241"/>
      <c r="E148" s="396" t="s">
        <v>3343</v>
      </c>
      <c r="F148" s="392"/>
      <c r="G148" s="750" t="s">
        <v>2253</v>
      </c>
    </row>
    <row r="149" spans="1:7" s="42" customFormat="1" ht="12" customHeight="1">
      <c r="A149" s="104"/>
      <c r="B149" s="241"/>
      <c r="C149" s="396"/>
      <c r="D149" s="396"/>
      <c r="E149" s="396" t="s">
        <v>2197</v>
      </c>
      <c r="F149" s="392"/>
      <c r="G149" s="750" t="s">
        <v>2253</v>
      </c>
    </row>
    <row r="150" spans="1:7" s="42" customFormat="1" ht="12" customHeight="1">
      <c r="A150" s="104"/>
      <c r="B150" s="396"/>
      <c r="C150" s="396"/>
      <c r="D150" s="396"/>
      <c r="E150" s="396" t="s">
        <v>2198</v>
      </c>
      <c r="F150" s="392"/>
      <c r="G150" s="750" t="s">
        <v>2253</v>
      </c>
    </row>
    <row r="151" spans="1:7" s="42" customFormat="1" ht="12" customHeight="1">
      <c r="A151" s="104"/>
      <c r="B151" s="396"/>
      <c r="C151" s="396"/>
      <c r="D151" s="396"/>
      <c r="E151" s="396" t="s">
        <v>3338</v>
      </c>
      <c r="F151" s="392"/>
      <c r="G151" s="750" t="s">
        <v>2253</v>
      </c>
    </row>
    <row r="152" spans="1:7" s="42" customFormat="1" ht="12" customHeight="1">
      <c r="A152" s="104"/>
      <c r="B152" s="396"/>
      <c r="C152" s="396"/>
      <c r="D152" s="396"/>
      <c r="E152" s="396" t="s">
        <v>3339</v>
      </c>
      <c r="F152" s="392"/>
      <c r="G152" s="750" t="s">
        <v>2253</v>
      </c>
    </row>
    <row r="153" spans="1:7" s="42" customFormat="1" ht="12" customHeight="1">
      <c r="A153" s="104"/>
      <c r="B153" s="396"/>
      <c r="C153" s="396"/>
      <c r="D153" s="396"/>
      <c r="E153" s="396" t="s">
        <v>2195</v>
      </c>
      <c r="F153" s="392"/>
      <c r="G153" s="750" t="s">
        <v>2253</v>
      </c>
    </row>
    <row r="154" spans="1:7" s="42" customFormat="1" ht="12" customHeight="1">
      <c r="A154" s="104"/>
      <c r="B154" s="711"/>
      <c r="C154" s="415"/>
      <c r="D154" s="396"/>
      <c r="E154" s="397" t="s">
        <v>2858</v>
      </c>
      <c r="F154" s="392"/>
      <c r="G154" s="750" t="s">
        <v>2253</v>
      </c>
    </row>
    <row r="155" spans="1:7" s="42" customFormat="1" ht="5.45" customHeight="1">
      <c r="A155" s="100"/>
      <c r="B155" s="394"/>
      <c r="C155" s="394"/>
      <c r="D155" s="394"/>
      <c r="E155" s="394"/>
      <c r="F155" s="395"/>
      <c r="G155" s="312"/>
    </row>
    <row r="156" spans="1:7" s="42" customFormat="1" ht="12" customHeight="1">
      <c r="A156" s="387">
        <v>23</v>
      </c>
      <c r="B156" s="913" t="s">
        <v>1915</v>
      </c>
      <c r="C156" s="914"/>
      <c r="D156" s="914"/>
      <c r="E156" s="752" t="s">
        <v>1408</v>
      </c>
      <c r="F156" s="392"/>
      <c r="G156" s="750" t="s">
        <v>2253</v>
      </c>
    </row>
    <row r="157" spans="1:7" s="42" customFormat="1" ht="12" customHeight="1">
      <c r="A157" s="104"/>
      <c r="B157" s="915"/>
      <c r="C157" s="914"/>
      <c r="D157" s="914"/>
      <c r="E157" s="752" t="s">
        <v>1409</v>
      </c>
      <c r="F157" s="392"/>
      <c r="G157" s="750" t="s">
        <v>2253</v>
      </c>
    </row>
    <row r="158" spans="1:7" s="42" customFormat="1" ht="12" customHeight="1">
      <c r="A158" s="104"/>
      <c r="B158" s="915"/>
      <c r="C158" s="914"/>
      <c r="D158" s="914"/>
      <c r="E158" s="752" t="s">
        <v>1410</v>
      </c>
      <c r="F158" s="392"/>
      <c r="G158" s="750" t="s">
        <v>2253</v>
      </c>
    </row>
    <row r="159" spans="1:7" s="42" customFormat="1" ht="24.6" customHeight="1">
      <c r="A159" s="104"/>
      <c r="B159" s="756"/>
      <c r="C159" s="141"/>
      <c r="D159" s="141"/>
      <c r="E159" s="911" t="s">
        <v>3508</v>
      </c>
      <c r="F159" s="912"/>
      <c r="G159" s="750" t="s">
        <v>2253</v>
      </c>
    </row>
    <row r="160" spans="1:7" s="42" customFormat="1" ht="5.45" customHeight="1">
      <c r="A160" s="100"/>
      <c r="B160" s="394"/>
      <c r="C160" s="394"/>
      <c r="D160" s="394"/>
      <c r="E160" s="394"/>
      <c r="F160" s="395"/>
      <c r="G160" s="312"/>
    </row>
    <row r="161" spans="1:7" s="42" customFormat="1" ht="12.6" customHeight="1">
      <c r="A161" s="104"/>
      <c r="B161" s="409" t="s">
        <v>3501</v>
      </c>
      <c r="C161" s="757"/>
      <c r="D161" s="758"/>
      <c r="E161" s="752"/>
      <c r="F161" s="392"/>
      <c r="G161" s="106"/>
    </row>
    <row r="162" spans="1:7" s="42" customFormat="1" ht="12" customHeight="1">
      <c r="A162" s="387">
        <v>24</v>
      </c>
      <c r="B162" s="753" t="s">
        <v>1025</v>
      </c>
      <c r="C162" s="241"/>
      <c r="D162" s="752"/>
      <c r="E162" s="398" t="s">
        <v>3502</v>
      </c>
      <c r="F162" s="392"/>
      <c r="G162" s="750" t="s">
        <v>3928</v>
      </c>
    </row>
    <row r="163" spans="1:7" s="42" customFormat="1" ht="12" customHeight="1">
      <c r="A163" s="104"/>
      <c r="B163" s="241"/>
      <c r="C163" s="711"/>
      <c r="D163" s="752"/>
      <c r="E163" s="916" t="s">
        <v>866</v>
      </c>
      <c r="F163" s="917"/>
      <c r="G163" s="750" t="s">
        <v>3928</v>
      </c>
    </row>
    <row r="164" spans="1:7" s="42" customFormat="1" ht="12" customHeight="1">
      <c r="A164" s="104"/>
      <c r="B164" s="401"/>
      <c r="C164" s="752"/>
      <c r="D164" s="752"/>
      <c r="E164" s="398" t="s">
        <v>37</v>
      </c>
      <c r="F164" s="392"/>
      <c r="G164" s="750" t="s">
        <v>3928</v>
      </c>
    </row>
    <row r="165" spans="1:7" s="42" customFormat="1" ht="24.6" customHeight="1">
      <c r="A165" s="104"/>
      <c r="B165" s="401"/>
      <c r="C165" s="752"/>
      <c r="D165" s="752"/>
      <c r="E165" s="916" t="s">
        <v>687</v>
      </c>
      <c r="F165" s="917"/>
      <c r="G165" s="750" t="s">
        <v>2253</v>
      </c>
    </row>
    <row r="166" spans="1:7" s="42" customFormat="1" ht="12" customHeight="1">
      <c r="A166" s="104"/>
      <c r="B166" s="401"/>
      <c r="C166" s="752"/>
      <c r="D166" s="752"/>
      <c r="E166" s="916" t="s">
        <v>688</v>
      </c>
      <c r="F166" s="917"/>
      <c r="G166" s="750" t="s">
        <v>2253</v>
      </c>
    </row>
    <row r="167" spans="1:7" s="42" customFormat="1" ht="5.45" customHeight="1">
      <c r="A167" s="104"/>
      <c r="B167" s="401"/>
      <c r="C167" s="752"/>
      <c r="D167" s="752"/>
      <c r="E167" s="712"/>
      <c r="F167" s="712"/>
      <c r="G167" s="759"/>
    </row>
    <row r="168" spans="1:7" s="42" customFormat="1" ht="13.9" customHeight="1">
      <c r="A168" s="387">
        <v>25</v>
      </c>
      <c r="B168" s="760" t="s">
        <v>627</v>
      </c>
      <c r="C168" s="241"/>
      <c r="D168" s="753"/>
      <c r="E168" s="916" t="s">
        <v>2654</v>
      </c>
      <c r="F168" s="917"/>
      <c r="G168" s="750" t="s">
        <v>3928</v>
      </c>
    </row>
    <row r="169" spans="1:7" s="42" customFormat="1" ht="13.9" customHeight="1">
      <c r="A169" s="389"/>
      <c r="B169" s="760"/>
      <c r="C169" s="241"/>
      <c r="D169" s="753"/>
      <c r="E169" s="916" t="s">
        <v>628</v>
      </c>
      <c r="F169" s="917"/>
      <c r="G169" s="750" t="s">
        <v>3928</v>
      </c>
    </row>
    <row r="170" spans="1:7" s="42" customFormat="1" ht="12" customHeight="1">
      <c r="A170" s="387">
        <v>26</v>
      </c>
      <c r="B170" s="753" t="s">
        <v>689</v>
      </c>
      <c r="C170" s="241"/>
      <c r="D170" s="753"/>
      <c r="E170" s="712" t="s">
        <v>690</v>
      </c>
      <c r="F170" s="708"/>
      <c r="G170" s="750" t="s">
        <v>2253</v>
      </c>
    </row>
    <row r="171" spans="1:7" s="42" customFormat="1" ht="12" customHeight="1">
      <c r="A171" s="104"/>
      <c r="B171" s="753"/>
      <c r="C171" s="241"/>
      <c r="E171" s="712" t="s">
        <v>629</v>
      </c>
      <c r="F171" s="708"/>
      <c r="G171" s="750" t="s">
        <v>2253</v>
      </c>
    </row>
    <row r="172" spans="1:7" s="42" customFormat="1" ht="12" customHeight="1">
      <c r="A172" s="104"/>
      <c r="B172" s="408"/>
      <c r="C172" s="241"/>
      <c r="D172" s="753"/>
      <c r="E172" s="916" t="s">
        <v>630</v>
      </c>
      <c r="F172" s="917"/>
      <c r="G172" s="750" t="s">
        <v>2253</v>
      </c>
    </row>
    <row r="173" spans="1:7" s="42" customFormat="1" ht="12" customHeight="1">
      <c r="A173" s="104"/>
      <c r="B173" s="408"/>
      <c r="C173" s="241"/>
      <c r="D173" s="753"/>
      <c r="E173" s="916" t="s">
        <v>631</v>
      </c>
      <c r="F173" s="917"/>
      <c r="G173" s="750" t="s">
        <v>2253</v>
      </c>
    </row>
    <row r="174" spans="1:7" s="42" customFormat="1" ht="6" customHeight="1">
      <c r="A174" s="104"/>
      <c r="B174" s="401"/>
      <c r="C174" s="752"/>
      <c r="D174" s="752"/>
      <c r="E174" s="712"/>
      <c r="F174" s="712"/>
      <c r="G174" s="759"/>
    </row>
    <row r="175" spans="1:7" s="42" customFormat="1" ht="12" customHeight="1">
      <c r="A175" s="387">
        <v>27</v>
      </c>
      <c r="B175" s="761" t="s">
        <v>276</v>
      </c>
      <c r="C175" s="241"/>
      <c r="D175" s="753"/>
      <c r="E175" s="712" t="s">
        <v>691</v>
      </c>
      <c r="F175" s="708"/>
      <c r="G175" s="750" t="s">
        <v>2253</v>
      </c>
    </row>
    <row r="176" spans="1:7" s="42" customFormat="1" ht="12" customHeight="1">
      <c r="A176" s="104"/>
      <c r="B176" s="753"/>
      <c r="C176" s="241"/>
      <c r="D176" s="753"/>
      <c r="E176" s="916" t="s">
        <v>177</v>
      </c>
      <c r="F176" s="917"/>
      <c r="G176" s="750" t="s">
        <v>2253</v>
      </c>
    </row>
    <row r="177" spans="1:7" s="42" customFormat="1" ht="12" customHeight="1">
      <c r="A177" s="104"/>
      <c r="B177" s="753"/>
      <c r="C177" s="241"/>
      <c r="D177" s="753"/>
      <c r="E177" s="398" t="s">
        <v>692</v>
      </c>
      <c r="F177" s="396"/>
      <c r="G177" s="750" t="s">
        <v>2253</v>
      </c>
    </row>
    <row r="178" spans="1:7" s="42" customFormat="1" ht="12" customHeight="1">
      <c r="A178" s="104"/>
      <c r="B178" s="753"/>
      <c r="C178" s="241"/>
      <c r="D178" s="753"/>
      <c r="E178" s="398" t="s">
        <v>693</v>
      </c>
      <c r="F178" s="396"/>
      <c r="G178" s="750" t="s">
        <v>2253</v>
      </c>
    </row>
    <row r="179" spans="1:7" s="42" customFormat="1" ht="12" customHeight="1">
      <c r="A179" s="387"/>
      <c r="B179" s="753"/>
      <c r="C179" s="241"/>
      <c r="D179" s="753"/>
      <c r="E179" s="762" t="s">
        <v>694</v>
      </c>
      <c r="F179" s="396"/>
      <c r="G179" s="750" t="s">
        <v>2253</v>
      </c>
    </row>
    <row r="180" spans="1:7" s="42" customFormat="1" ht="6" customHeight="1">
      <c r="A180" s="104"/>
      <c r="B180" s="753"/>
      <c r="C180" s="241"/>
      <c r="D180" s="753"/>
      <c r="E180" s="398"/>
      <c r="F180" s="398"/>
      <c r="G180" s="147"/>
    </row>
    <row r="181" spans="1:7" s="42" customFormat="1" ht="12" customHeight="1">
      <c r="A181" s="387">
        <v>28</v>
      </c>
      <c r="B181" s="761" t="s">
        <v>3473</v>
      </c>
      <c r="C181" s="753"/>
      <c r="D181" s="753"/>
      <c r="E181" s="916" t="s">
        <v>178</v>
      </c>
      <c r="F181" s="941"/>
      <c r="G181" s="750" t="s">
        <v>2253</v>
      </c>
    </row>
    <row r="182" spans="1:7" s="42" customFormat="1" ht="12" customHeight="1">
      <c r="A182" s="387"/>
      <c r="B182" s="761"/>
      <c r="C182" s="753"/>
      <c r="D182" s="753"/>
      <c r="E182" s="916" t="s">
        <v>179</v>
      </c>
      <c r="F182" s="941"/>
      <c r="G182" s="750" t="s">
        <v>2253</v>
      </c>
    </row>
    <row r="183" spans="1:7" s="42" customFormat="1" ht="25.15" customHeight="1">
      <c r="A183" s="104"/>
      <c r="B183" s="753"/>
      <c r="C183" s="241"/>
      <c r="D183" s="753"/>
      <c r="E183" s="916" t="s">
        <v>1619</v>
      </c>
      <c r="F183" s="917"/>
      <c r="G183" s="750" t="s">
        <v>2253</v>
      </c>
    </row>
    <row r="184" spans="1:7" s="42" customFormat="1" ht="6" customHeight="1">
      <c r="A184" s="104"/>
      <c r="B184" s="753"/>
      <c r="C184" s="241"/>
      <c r="D184" s="753"/>
      <c r="E184" s="398"/>
      <c r="F184" s="396"/>
      <c r="G184" s="106"/>
    </row>
    <row r="185" spans="1:7" s="42" customFormat="1" ht="12" customHeight="1">
      <c r="A185" s="387">
        <v>29</v>
      </c>
      <c r="B185" s="761" t="s">
        <v>405</v>
      </c>
      <c r="C185" s="241"/>
      <c r="D185" s="753"/>
      <c r="E185" s="916" t="s">
        <v>632</v>
      </c>
      <c r="F185" s="917"/>
      <c r="G185" s="750" t="s">
        <v>3928</v>
      </c>
    </row>
    <row r="186" spans="1:7" s="42" customFormat="1" ht="12" customHeight="1">
      <c r="A186" s="387"/>
      <c r="B186" s="761"/>
      <c r="C186" s="241"/>
      <c r="D186" s="753"/>
      <c r="E186" s="393" t="s">
        <v>1636</v>
      </c>
      <c r="F186" s="708"/>
      <c r="G186" s="750" t="s">
        <v>3928</v>
      </c>
    </row>
    <row r="187" spans="1:7" s="42" customFormat="1" ht="6" customHeight="1">
      <c r="A187" s="100"/>
      <c r="B187" s="394"/>
      <c r="C187" s="753"/>
      <c r="D187" s="753"/>
      <c r="E187" s="752"/>
      <c r="F187" s="396"/>
      <c r="G187" s="396"/>
    </row>
    <row r="188" spans="1:7" s="42" customFormat="1" ht="12" customHeight="1">
      <c r="A188" s="387">
        <v>30</v>
      </c>
      <c r="B188" s="753" t="s">
        <v>3885</v>
      </c>
      <c r="C188" s="241"/>
      <c r="D188" s="753"/>
      <c r="E188" s="752" t="s">
        <v>1637</v>
      </c>
      <c r="F188" s="396"/>
      <c r="G188" s="750" t="s">
        <v>3928</v>
      </c>
    </row>
    <row r="189" spans="1:7" s="42" customFormat="1" ht="6" customHeight="1">
      <c r="A189" s="100"/>
      <c r="B189" s="394"/>
      <c r="C189" s="753"/>
      <c r="D189" s="753"/>
      <c r="E189" s="752"/>
      <c r="F189" s="396"/>
      <c r="G189" s="396"/>
    </row>
    <row r="190" spans="1:7" s="42" customFormat="1" ht="12" customHeight="1">
      <c r="A190" s="387">
        <v>31</v>
      </c>
      <c r="B190" s="763" t="s">
        <v>169</v>
      </c>
      <c r="C190" s="241"/>
      <c r="D190" s="395"/>
      <c r="E190" s="394"/>
      <c r="F190" s="395"/>
      <c r="G190" s="395"/>
    </row>
    <row r="191" spans="1:7" s="42" customFormat="1" ht="12" customHeight="1">
      <c r="A191" s="387"/>
      <c r="C191" s="764" t="s">
        <v>655</v>
      </c>
      <c r="D191" s="753"/>
      <c r="E191" s="939" t="s">
        <v>3549</v>
      </c>
      <c r="F191" s="940"/>
      <c r="G191" s="750" t="s">
        <v>2253</v>
      </c>
    </row>
    <row r="192" spans="1:7" s="42" customFormat="1" ht="12" customHeight="1">
      <c r="A192" s="387"/>
      <c r="C192" s="764"/>
      <c r="D192" s="753"/>
      <c r="E192" s="765" t="s">
        <v>1638</v>
      </c>
      <c r="F192" s="766"/>
      <c r="G192" s="750" t="s">
        <v>2253</v>
      </c>
    </row>
    <row r="193" spans="1:7" s="42" customFormat="1" ht="12" customHeight="1">
      <c r="A193" s="104"/>
      <c r="C193" s="241"/>
      <c r="D193" s="753"/>
      <c r="E193" s="948" t="s">
        <v>3550</v>
      </c>
      <c r="F193" s="949"/>
      <c r="G193" s="750" t="s">
        <v>2253</v>
      </c>
    </row>
    <row r="194" spans="1:7" s="42" customFormat="1" ht="12" customHeight="1">
      <c r="A194" s="104"/>
      <c r="C194" s="241"/>
      <c r="D194" s="753"/>
      <c r="E194" s="752" t="s">
        <v>3551</v>
      </c>
      <c r="F194" s="396"/>
      <c r="G194" s="750" t="s">
        <v>2253</v>
      </c>
    </row>
    <row r="195" spans="1:7" s="42" customFormat="1" ht="5.45" customHeight="1">
      <c r="A195" s="100"/>
      <c r="B195" s="394"/>
      <c r="C195" s="395"/>
      <c r="D195" s="395"/>
      <c r="E195" s="394"/>
      <c r="F195" s="395"/>
      <c r="G195" s="312"/>
    </row>
    <row r="196" spans="1:7" s="42" customFormat="1" ht="12" customHeight="1">
      <c r="A196" s="104"/>
      <c r="C196" s="241" t="s">
        <v>539</v>
      </c>
      <c r="D196" s="753"/>
      <c r="E196" s="752" t="s">
        <v>3797</v>
      </c>
      <c r="F196" s="396"/>
      <c r="G196" s="750" t="s">
        <v>2253</v>
      </c>
    </row>
    <row r="197" spans="1:7" s="42" customFormat="1" ht="12" customHeight="1">
      <c r="A197" s="104"/>
      <c r="B197" s="241"/>
      <c r="C197" s="241"/>
      <c r="D197" s="753"/>
      <c r="E197" s="752" t="s">
        <v>3383</v>
      </c>
      <c r="F197" s="396"/>
      <c r="G197" s="750" t="s">
        <v>2253</v>
      </c>
    </row>
    <row r="198" spans="1:7" s="42" customFormat="1" ht="12" customHeight="1">
      <c r="A198" s="104"/>
      <c r="B198" s="752"/>
      <c r="C198" s="408"/>
      <c r="D198" s="753"/>
      <c r="E198" s="752" t="s">
        <v>167</v>
      </c>
      <c r="F198" s="396"/>
      <c r="G198" s="750" t="s">
        <v>2253</v>
      </c>
    </row>
    <row r="199" spans="1:7" s="42" customFormat="1" ht="12" customHeight="1">
      <c r="A199" s="104"/>
      <c r="B199" s="752"/>
      <c r="C199" s="753"/>
      <c r="D199" s="753"/>
      <c r="E199" s="752" t="s">
        <v>3884</v>
      </c>
      <c r="F199" s="396"/>
      <c r="G199" s="750" t="s">
        <v>2253</v>
      </c>
    </row>
    <row r="200" spans="1:7" s="42" customFormat="1" ht="12" customHeight="1">
      <c r="A200" s="104"/>
      <c r="B200" s="711"/>
      <c r="C200" s="753"/>
      <c r="D200" s="753"/>
      <c r="E200" s="752" t="s">
        <v>168</v>
      </c>
      <c r="F200" s="396"/>
      <c r="G200" s="750" t="s">
        <v>2253</v>
      </c>
    </row>
    <row r="201" spans="1:7" s="42" customFormat="1" ht="5.45" customHeight="1">
      <c r="A201" s="100"/>
      <c r="B201" s="394"/>
      <c r="C201" s="395"/>
      <c r="D201" s="395"/>
      <c r="E201" s="394"/>
      <c r="F201" s="395"/>
      <c r="G201" s="312"/>
    </row>
    <row r="202" spans="1:7" s="42" customFormat="1" ht="12" customHeight="1">
      <c r="A202" s="104"/>
      <c r="B202" s="753"/>
      <c r="C202" s="241" t="s">
        <v>540</v>
      </c>
      <c r="D202" s="753"/>
      <c r="E202" s="752" t="s">
        <v>2732</v>
      </c>
      <c r="F202" s="396"/>
      <c r="G202" s="750" t="s">
        <v>2253</v>
      </c>
    </row>
    <row r="203" spans="1:7" s="42" customFormat="1" ht="12" customHeight="1">
      <c r="A203" s="104"/>
      <c r="B203" s="711"/>
      <c r="C203" s="753"/>
      <c r="D203" s="753"/>
      <c r="E203" s="752" t="s">
        <v>2733</v>
      </c>
      <c r="F203" s="396"/>
      <c r="G203" s="750" t="s">
        <v>2253</v>
      </c>
    </row>
    <row r="204" spans="1:7" s="42" customFormat="1" ht="5.45" customHeight="1">
      <c r="A204" s="100"/>
      <c r="B204" s="394"/>
      <c r="C204" s="395"/>
      <c r="D204" s="395"/>
      <c r="E204" s="394"/>
      <c r="F204" s="395"/>
      <c r="G204" s="312"/>
    </row>
    <row r="205" spans="1:7" s="42" customFormat="1" ht="12" customHeight="1">
      <c r="A205" s="104"/>
      <c r="C205" s="241" t="s">
        <v>170</v>
      </c>
      <c r="D205" s="753"/>
      <c r="E205" s="752" t="s">
        <v>171</v>
      </c>
      <c r="F205" s="396"/>
      <c r="G205" s="750" t="s">
        <v>2253</v>
      </c>
    </row>
    <row r="206" spans="1:7" s="42" customFormat="1" ht="12" customHeight="1">
      <c r="A206" s="104"/>
      <c r="B206" s="241"/>
      <c r="C206" s="241"/>
      <c r="D206" s="753"/>
      <c r="E206" s="752" t="s">
        <v>172</v>
      </c>
      <c r="F206" s="396"/>
      <c r="G206" s="750" t="s">
        <v>2253</v>
      </c>
    </row>
    <row r="207" spans="1:7" s="42" customFormat="1" ht="12" customHeight="1">
      <c r="A207" s="104"/>
      <c r="B207" s="752"/>
      <c r="C207" s="408"/>
      <c r="D207" s="753"/>
      <c r="E207" s="752" t="s">
        <v>3509</v>
      </c>
      <c r="F207" s="396"/>
      <c r="G207" s="750" t="s">
        <v>2253</v>
      </c>
    </row>
    <row r="208" spans="1:7" s="42" customFormat="1" ht="12" customHeight="1">
      <c r="A208" s="104"/>
      <c r="B208" s="752"/>
      <c r="C208" s="753"/>
      <c r="D208" s="753"/>
      <c r="E208" s="752" t="s">
        <v>173</v>
      </c>
      <c r="F208" s="396"/>
      <c r="G208" s="750" t="s">
        <v>2253</v>
      </c>
    </row>
    <row r="209" spans="1:7" s="42" customFormat="1" ht="12" customHeight="1">
      <c r="A209" s="387"/>
      <c r="B209" s="711"/>
      <c r="C209" s="753"/>
      <c r="D209" s="753"/>
      <c r="E209" s="752" t="s">
        <v>174</v>
      </c>
      <c r="F209" s="396"/>
      <c r="G209" s="750" t="s">
        <v>2253</v>
      </c>
    </row>
    <row r="210" spans="1:7" s="42" customFormat="1" ht="12" customHeight="1">
      <c r="A210" s="107"/>
      <c r="B210" s="711"/>
      <c r="C210" s="753"/>
      <c r="D210" s="753"/>
      <c r="E210" s="752" t="s">
        <v>175</v>
      </c>
      <c r="F210" s="396"/>
      <c r="G210" s="750" t="s">
        <v>2253</v>
      </c>
    </row>
    <row r="211" spans="1:7" s="42" customFormat="1" ht="12" customHeight="1">
      <c r="A211" s="387">
        <v>32</v>
      </c>
      <c r="B211" s="753" t="s">
        <v>3362</v>
      </c>
      <c r="C211" s="241"/>
      <c r="D211" s="753"/>
      <c r="E211" s="752" t="s">
        <v>176</v>
      </c>
      <c r="F211" s="396"/>
      <c r="G211" s="750" t="s">
        <v>2253</v>
      </c>
    </row>
    <row r="212" spans="1:7" s="42" customFormat="1" ht="6" customHeight="1">
      <c r="A212" s="104"/>
      <c r="B212" s="711"/>
      <c r="C212" s="753"/>
      <c r="D212" s="753"/>
      <c r="E212" s="752"/>
      <c r="F212" s="396"/>
      <c r="G212" s="313"/>
    </row>
    <row r="213" spans="1:7" s="42" customFormat="1" ht="12" customHeight="1">
      <c r="A213" s="387">
        <v>33</v>
      </c>
      <c r="B213" s="753" t="s">
        <v>2841</v>
      </c>
      <c r="C213" s="241"/>
      <c r="D213" s="753"/>
      <c r="E213" s="916" t="s">
        <v>180</v>
      </c>
      <c r="F213" s="917"/>
      <c r="G213" s="750" t="s">
        <v>2253</v>
      </c>
    </row>
    <row r="214" spans="1:7" s="42" customFormat="1" ht="12" customHeight="1">
      <c r="A214" s="387"/>
      <c r="B214" s="241"/>
      <c r="C214" s="241"/>
      <c r="D214" s="753"/>
      <c r="E214" s="916" t="s">
        <v>181</v>
      </c>
      <c r="F214" s="917"/>
      <c r="G214" s="750" t="s">
        <v>2253</v>
      </c>
    </row>
    <row r="215" spans="1:7" s="42" customFormat="1" ht="12" customHeight="1">
      <c r="A215" s="387"/>
      <c r="B215" s="241"/>
      <c r="C215" s="241"/>
      <c r="D215" s="753"/>
      <c r="E215" s="393" t="s">
        <v>3510</v>
      </c>
      <c r="F215" s="708"/>
      <c r="G215" s="750" t="s">
        <v>2253</v>
      </c>
    </row>
    <row r="216" spans="1:7" s="42" customFormat="1" ht="6" customHeight="1">
      <c r="A216" s="104"/>
      <c r="B216" s="711"/>
      <c r="C216" s="753"/>
      <c r="D216" s="753"/>
      <c r="E216" s="752"/>
      <c r="F216" s="396"/>
      <c r="G216" s="654"/>
    </row>
    <row r="217" spans="1:7" s="42" customFormat="1" ht="12.6" customHeight="1">
      <c r="A217" s="387">
        <v>34</v>
      </c>
      <c r="B217" s="753" t="s">
        <v>2669</v>
      </c>
      <c r="C217" s="753"/>
      <c r="D217" s="753"/>
      <c r="E217" s="752"/>
      <c r="F217" s="396"/>
      <c r="G217" s="601"/>
    </row>
    <row r="218" spans="1:7" s="42" customFormat="1" ht="12" customHeight="1">
      <c r="A218" s="104"/>
      <c r="B218" s="241"/>
      <c r="C218" s="752" t="s">
        <v>2671</v>
      </c>
      <c r="D218" s="753"/>
      <c r="E218" s="752" t="s">
        <v>182</v>
      </c>
      <c r="F218" s="396"/>
      <c r="G218" s="750" t="s">
        <v>2253</v>
      </c>
    </row>
    <row r="219" spans="1:7" s="42" customFormat="1" ht="12" customHeight="1">
      <c r="A219" s="104"/>
      <c r="B219" s="752"/>
      <c r="C219" s="752" t="s">
        <v>2672</v>
      </c>
      <c r="D219" s="753"/>
      <c r="E219" s="396" t="s">
        <v>148</v>
      </c>
      <c r="F219" s="396"/>
      <c r="G219" s="750" t="s">
        <v>2253</v>
      </c>
    </row>
    <row r="220" spans="1:7" s="42" customFormat="1" ht="12" customHeight="1">
      <c r="A220" s="104"/>
      <c r="B220" s="752"/>
      <c r="C220" s="711" t="s">
        <v>2670</v>
      </c>
      <c r="D220" s="753"/>
      <c r="E220" s="752" t="s">
        <v>183</v>
      </c>
      <c r="F220" s="396"/>
      <c r="G220" s="750" t="s">
        <v>2253</v>
      </c>
    </row>
    <row r="221" spans="1:7" s="42" customFormat="1" ht="6" customHeight="1">
      <c r="A221" s="104"/>
      <c r="B221" s="711"/>
      <c r="C221" s="753"/>
      <c r="D221" s="753"/>
      <c r="E221" s="752"/>
      <c r="F221" s="396"/>
      <c r="G221" s="313"/>
    </row>
    <row r="222" spans="1:7" s="42" customFormat="1" ht="12" customHeight="1">
      <c r="A222" s="387">
        <v>35</v>
      </c>
      <c r="B222" s="753" t="s">
        <v>1906</v>
      </c>
      <c r="C222" s="241"/>
      <c r="D222" s="753"/>
      <c r="E222" s="752" t="s">
        <v>1907</v>
      </c>
      <c r="F222" s="396"/>
      <c r="G222" s="750" t="s">
        <v>2253</v>
      </c>
    </row>
    <row r="223" spans="1:7" s="42" customFormat="1" ht="6" customHeight="1">
      <c r="A223" s="104"/>
      <c r="B223" s="711"/>
      <c r="C223" s="753"/>
      <c r="D223" s="753"/>
      <c r="E223" s="752"/>
      <c r="F223" s="396"/>
      <c r="G223" s="313"/>
    </row>
    <row r="224" spans="1:7" s="42" customFormat="1" ht="12" customHeight="1">
      <c r="A224" s="387">
        <v>36</v>
      </c>
      <c r="B224" s="753" t="s">
        <v>275</v>
      </c>
      <c r="C224" s="241"/>
      <c r="D224" s="753"/>
      <c r="E224" s="752" t="s">
        <v>1908</v>
      </c>
      <c r="F224" s="396"/>
      <c r="G224" s="750" t="s">
        <v>2253</v>
      </c>
    </row>
    <row r="225" spans="1:7" s="42" customFormat="1" ht="6" customHeight="1">
      <c r="A225" s="104"/>
      <c r="B225" s="711"/>
      <c r="C225" s="753"/>
      <c r="D225" s="753"/>
      <c r="E225" s="752"/>
      <c r="F225" s="396"/>
      <c r="G225" s="106"/>
    </row>
    <row r="226" spans="1:7" s="42" customFormat="1" ht="12" customHeight="1">
      <c r="A226" s="387">
        <v>37</v>
      </c>
      <c r="B226" s="753" t="s">
        <v>2735</v>
      </c>
      <c r="C226" s="241"/>
      <c r="D226" s="753"/>
      <c r="E226" s="752" t="s">
        <v>526</v>
      </c>
      <c r="F226" s="396"/>
      <c r="G226" s="750" t="s">
        <v>2253</v>
      </c>
    </row>
    <row r="227" spans="1:7" s="42" customFormat="1" ht="12" customHeight="1">
      <c r="A227" s="104"/>
      <c r="B227" s="752"/>
      <c r="C227" s="753"/>
      <c r="D227" s="753"/>
      <c r="E227" s="396" t="s">
        <v>527</v>
      </c>
      <c r="F227" s="396"/>
      <c r="G227" s="750" t="s">
        <v>2253</v>
      </c>
    </row>
    <row r="228" spans="1:7" s="42" customFormat="1" ht="12" customHeight="1">
      <c r="A228" s="104"/>
      <c r="B228" s="752"/>
      <c r="C228" s="408"/>
      <c r="D228" s="753"/>
      <c r="E228" s="752" t="s">
        <v>528</v>
      </c>
      <c r="F228" s="396"/>
      <c r="G228" s="750" t="s">
        <v>2253</v>
      </c>
    </row>
    <row r="229" spans="1:7" s="42" customFormat="1" ht="12" customHeight="1">
      <c r="A229" s="104"/>
      <c r="B229" s="711"/>
      <c r="C229" s="753"/>
      <c r="D229" s="753"/>
      <c r="E229" s="767" t="s">
        <v>529</v>
      </c>
      <c r="F229" s="396"/>
      <c r="G229" s="750" t="s">
        <v>2253</v>
      </c>
    </row>
    <row r="230" spans="1:7" s="42" customFormat="1" ht="12" customHeight="1">
      <c r="A230" s="104"/>
      <c r="B230" s="752"/>
      <c r="E230" s="752" t="s">
        <v>35</v>
      </c>
      <c r="F230" s="396"/>
      <c r="G230" s="750" t="s">
        <v>2253</v>
      </c>
    </row>
    <row r="231" spans="1:7" s="42" customFormat="1" ht="12" customHeight="1">
      <c r="A231" s="104"/>
      <c r="B231" s="711"/>
      <c r="E231" s="767" t="s">
        <v>36</v>
      </c>
      <c r="F231" s="396"/>
      <c r="G231" s="750" t="s">
        <v>2253</v>
      </c>
    </row>
    <row r="232" spans="1:7" s="42" customFormat="1" ht="6" customHeight="1">
      <c r="A232" s="104"/>
      <c r="B232" s="711"/>
      <c r="C232" s="753"/>
      <c r="D232" s="753"/>
      <c r="E232" s="752"/>
      <c r="F232" s="396"/>
      <c r="G232" s="106"/>
    </row>
    <row r="233" spans="1:7" s="42" customFormat="1" ht="12" customHeight="1">
      <c r="A233" s="387">
        <v>38</v>
      </c>
      <c r="B233" s="753" t="s">
        <v>3552</v>
      </c>
      <c r="C233" s="241"/>
      <c r="D233" s="753"/>
      <c r="E233" s="752" t="s">
        <v>3511</v>
      </c>
      <c r="F233" s="396"/>
      <c r="G233" s="750" t="s">
        <v>3928</v>
      </c>
    </row>
    <row r="234" spans="1:7" s="42" customFormat="1" ht="12" customHeight="1">
      <c r="A234" s="104"/>
      <c r="B234" s="752"/>
      <c r="C234" s="753"/>
      <c r="D234" s="753"/>
      <c r="E234" s="396" t="s">
        <v>3512</v>
      </c>
      <c r="F234" s="396"/>
      <c r="G234" s="750" t="s">
        <v>3928</v>
      </c>
    </row>
    <row r="235" spans="1:7" s="42" customFormat="1" ht="6" customHeight="1">
      <c r="A235" s="104"/>
      <c r="B235" s="417"/>
      <c r="C235" s="768"/>
      <c r="D235" s="768"/>
      <c r="E235" s="769"/>
      <c r="F235" s="106"/>
      <c r="G235" s="106"/>
    </row>
    <row r="236" spans="1:7" s="42" customFormat="1" ht="13.15" customHeight="1">
      <c r="A236" s="387">
        <v>39</v>
      </c>
      <c r="B236" s="753" t="s">
        <v>2363</v>
      </c>
      <c r="E236" s="770" t="s">
        <v>4065</v>
      </c>
      <c r="F236" s="770"/>
      <c r="G236" s="750" t="s">
        <v>3928</v>
      </c>
    </row>
    <row r="237" spans="1:7" s="42" customFormat="1" ht="12.6" customHeight="1">
      <c r="A237" s="104"/>
      <c r="C237" s="945" t="s">
        <v>1026</v>
      </c>
      <c r="D237" s="946"/>
      <c r="E237" s="771" t="s">
        <v>4066</v>
      </c>
      <c r="F237" s="771"/>
      <c r="G237" s="772" t="s">
        <v>3928</v>
      </c>
    </row>
    <row r="238" spans="1:7" s="42" customFormat="1" ht="12.6" customHeight="1">
      <c r="A238" s="104"/>
      <c r="C238" s="945"/>
      <c r="D238" s="946"/>
      <c r="E238" s="771"/>
      <c r="F238" s="771"/>
      <c r="G238" s="772"/>
    </row>
    <row r="239" spans="1:7" s="42" customFormat="1" ht="12.6" customHeight="1">
      <c r="A239" s="104"/>
      <c r="C239" s="947"/>
      <c r="D239" s="946"/>
      <c r="E239" s="773"/>
      <c r="F239" s="773"/>
      <c r="G239" s="772"/>
    </row>
    <row r="240" spans="1:7" s="42" customFormat="1" ht="26.45" customHeight="1">
      <c r="A240" s="942" t="s">
        <v>3127</v>
      </c>
      <c r="B240" s="943"/>
      <c r="C240" s="943"/>
      <c r="D240" s="943"/>
      <c r="E240" s="943"/>
      <c r="F240" s="943"/>
      <c r="G240" s="944"/>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dimension ref="A1:HM214"/>
  <sheetViews>
    <sheetView showGridLines="0" showZeros="0" topLeftCell="A132" zoomScaleNormal="100" workbookViewId="0">
      <selection activeCell="A192"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1208" t="str">
        <f>CONCATENATE("PART SIX - PROJECTED REVENUES &amp; EXPENSES","  -  ",'Part I-Project Information'!$O$4," ",'Part I-Project Information'!$F$22,", ",'Part I-Project Information'!F24,", ",'Part I-Project Information'!J25," County")</f>
        <v>PART SIX - PROJECTED REVENUES &amp; EXPENSES  -  2011-012 Veteran Senior Housing - Assisted Living, Decatur, DeKalb County</v>
      </c>
      <c r="B1" s="1209"/>
      <c r="C1" s="1209"/>
      <c r="D1" s="1209"/>
      <c r="E1" s="1209"/>
      <c r="F1" s="1209"/>
      <c r="G1" s="1209"/>
      <c r="H1" s="1209"/>
      <c r="I1" s="1209"/>
      <c r="J1" s="1209"/>
      <c r="K1" s="1209"/>
      <c r="L1" s="1209"/>
      <c r="M1" s="1209"/>
      <c r="N1" s="1209"/>
      <c r="O1" s="1209"/>
      <c r="P1" s="1210"/>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3572</v>
      </c>
      <c r="C3" s="2"/>
      <c r="D3" s="167" t="s">
        <v>328</v>
      </c>
      <c r="E3" s="2"/>
      <c r="F3" s="2"/>
      <c r="G3" s="167"/>
      <c r="H3" s="167"/>
      <c r="I3" s="167"/>
      <c r="J3" s="167"/>
      <c r="K3" s="167"/>
      <c r="L3" s="167"/>
      <c r="N3" s="707" t="s">
        <v>886</v>
      </c>
      <c r="O3" s="1343" t="str">
        <f>'Part I-Project Information'!$J$26</f>
        <v>Atlanta-Sandy Springs-Marietta</v>
      </c>
      <c r="P3" s="134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3687</v>
      </c>
      <c r="FA3" s="655" t="s">
        <v>3688</v>
      </c>
      <c r="FB3" s="655" t="s">
        <v>3689</v>
      </c>
      <c r="FC3" s="655" t="s">
        <v>3690</v>
      </c>
      <c r="FD3" s="656"/>
      <c r="FE3" s="656"/>
      <c r="FF3" s="656"/>
      <c r="FG3" s="656"/>
      <c r="FH3" s="656"/>
      <c r="FI3" s="655" t="s">
        <v>716</v>
      </c>
      <c r="FJ3" s="655" t="s">
        <v>3687</v>
      </c>
      <c r="FK3" s="655" t="s">
        <v>3688</v>
      </c>
      <c r="FL3" s="655" t="s">
        <v>3689</v>
      </c>
      <c r="FM3" s="655" t="s">
        <v>3690</v>
      </c>
      <c r="FN3" s="655" t="s">
        <v>716</v>
      </c>
      <c r="FO3" s="655" t="s">
        <v>3687</v>
      </c>
      <c r="FP3" s="655" t="s">
        <v>3688</v>
      </c>
      <c r="FQ3" s="655" t="s">
        <v>3689</v>
      </c>
      <c r="FR3" s="655" t="s">
        <v>3690</v>
      </c>
      <c r="FS3" s="655" t="s">
        <v>716</v>
      </c>
      <c r="FT3" s="655" t="s">
        <v>3687</v>
      </c>
      <c r="FU3" s="655" t="s">
        <v>3688</v>
      </c>
      <c r="FV3" s="655" t="s">
        <v>3689</v>
      </c>
      <c r="FW3" s="655" t="s">
        <v>3690</v>
      </c>
      <c r="FX3" s="655" t="s">
        <v>716</v>
      </c>
      <c r="FY3" s="655" t="s">
        <v>3687</v>
      </c>
      <c r="FZ3" s="655" t="s">
        <v>3688</v>
      </c>
      <c r="GA3" s="655" t="s">
        <v>3689</v>
      </c>
      <c r="GB3" s="655" t="s">
        <v>3690</v>
      </c>
      <c r="GC3" s="655" t="s">
        <v>716</v>
      </c>
      <c r="GD3" s="655" t="s">
        <v>3687</v>
      </c>
      <c r="GE3" s="655" t="s">
        <v>3688</v>
      </c>
      <c r="GF3" s="655" t="s">
        <v>3689</v>
      </c>
      <c r="GG3" s="655" t="s">
        <v>3690</v>
      </c>
      <c r="GH3" s="655" t="s">
        <v>716</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40" t="s">
        <v>1513</v>
      </c>
      <c r="U4" s="1340" t="s">
        <v>1247</v>
      </c>
      <c r="V4" s="1340" t="s">
        <v>1248</v>
      </c>
      <c r="W4" s="1340" t="s">
        <v>1249</v>
      </c>
      <c r="X4" s="1340" t="s">
        <v>1250</v>
      </c>
      <c r="Y4" s="1340" t="s">
        <v>1514</v>
      </c>
      <c r="Z4" s="1340" t="s">
        <v>3453</v>
      </c>
      <c r="AA4" s="1340" t="s">
        <v>3454</v>
      </c>
      <c r="AB4" s="1340" t="s">
        <v>3455</v>
      </c>
      <c r="AC4" s="1340" t="s">
        <v>3456</v>
      </c>
      <c r="AD4" s="1340" t="s">
        <v>1515</v>
      </c>
      <c r="AE4" s="1340" t="s">
        <v>3457</v>
      </c>
      <c r="AF4" s="1340" t="s">
        <v>3458</v>
      </c>
      <c r="AG4" s="1340" t="s">
        <v>3459</v>
      </c>
      <c r="AH4" s="1340" t="s">
        <v>3460</v>
      </c>
      <c r="AI4" s="1340" t="s">
        <v>152</v>
      </c>
      <c r="AJ4" s="1340" t="s">
        <v>3461</v>
      </c>
      <c r="AK4" s="1340" t="s">
        <v>3462</v>
      </c>
      <c r="AL4" s="1340" t="s">
        <v>3463</v>
      </c>
      <c r="AM4" s="1340" t="s">
        <v>1790</v>
      </c>
      <c r="AN4" s="1340" t="s">
        <v>853</v>
      </c>
      <c r="AO4" s="1340" t="s">
        <v>854</v>
      </c>
      <c r="AP4" s="1340" t="s">
        <v>891</v>
      </c>
      <c r="AQ4" s="1340" t="s">
        <v>892</v>
      </c>
      <c r="AR4" s="1340" t="s">
        <v>893</v>
      </c>
      <c r="AS4" s="1340" t="s">
        <v>894</v>
      </c>
      <c r="AT4" s="1340" t="s">
        <v>895</v>
      </c>
      <c r="AU4" s="1340" t="s">
        <v>896</v>
      </c>
      <c r="AV4" s="1340" t="s">
        <v>897</v>
      </c>
      <c r="AW4" s="1340" t="s">
        <v>898</v>
      </c>
      <c r="AX4" s="1340" t="s">
        <v>899</v>
      </c>
      <c r="AY4" s="1340" t="s">
        <v>900</v>
      </c>
      <c r="AZ4" s="1340" t="s">
        <v>1526</v>
      </c>
      <c r="BA4" s="1340" t="s">
        <v>1527</v>
      </c>
      <c r="BB4" s="1340" t="s">
        <v>1528</v>
      </c>
      <c r="BC4" s="1340" t="s">
        <v>736</v>
      </c>
      <c r="BD4" s="1340" t="s">
        <v>737</v>
      </c>
      <c r="BE4" s="1340" t="s">
        <v>738</v>
      </c>
      <c r="BF4" s="1340" t="s">
        <v>739</v>
      </c>
      <c r="BG4" s="1340" t="s">
        <v>740</v>
      </c>
      <c r="BH4" s="1340" t="s">
        <v>1472</v>
      </c>
      <c r="BI4" s="1340" t="s">
        <v>1473</v>
      </c>
      <c r="BJ4" s="1340" t="s">
        <v>1474</v>
      </c>
      <c r="BK4" s="1340" t="s">
        <v>1475</v>
      </c>
      <c r="BL4" s="1340" t="s">
        <v>1476</v>
      </c>
      <c r="BM4" s="1340" t="s">
        <v>1477</v>
      </c>
      <c r="BN4" s="1340" t="s">
        <v>1478</v>
      </c>
      <c r="BO4" s="1340" t="s">
        <v>1479</v>
      </c>
      <c r="BP4" s="1340" t="s">
        <v>1480</v>
      </c>
      <c r="BQ4" s="1340" t="s">
        <v>1481</v>
      </c>
      <c r="BR4" s="1340" t="s">
        <v>3677</v>
      </c>
      <c r="BS4" s="1340" t="s">
        <v>3678</v>
      </c>
      <c r="BT4" s="1340" t="s">
        <v>3679</v>
      </c>
      <c r="BU4" s="1340" t="s">
        <v>3680</v>
      </c>
      <c r="BV4" s="1340" t="s">
        <v>3681</v>
      </c>
      <c r="BW4" s="1340" t="s">
        <v>132</v>
      </c>
      <c r="BX4" s="1340" t="s">
        <v>1793</v>
      </c>
      <c r="BY4" s="1340" t="s">
        <v>1794</v>
      </c>
      <c r="BZ4" s="1340" t="s">
        <v>1874</v>
      </c>
      <c r="CA4" s="1340" t="s">
        <v>1875</v>
      </c>
      <c r="CB4" s="1339" t="s">
        <v>155</v>
      </c>
      <c r="CC4" s="1339" t="s">
        <v>1876</v>
      </c>
      <c r="CD4" s="1339" t="s">
        <v>1877</v>
      </c>
      <c r="CE4" s="1339" t="s">
        <v>1878</v>
      </c>
      <c r="CF4" s="1339" t="s">
        <v>1879</v>
      </c>
      <c r="CG4" s="1339" t="s">
        <v>154</v>
      </c>
      <c r="CH4" s="1339" t="s">
        <v>1505</v>
      </c>
      <c r="CI4" s="1339" t="s">
        <v>1506</v>
      </c>
      <c r="CJ4" s="1339" t="s">
        <v>1507</v>
      </c>
      <c r="CK4" s="1339" t="s">
        <v>1508</v>
      </c>
      <c r="CL4" s="1339" t="s">
        <v>153</v>
      </c>
      <c r="CM4" s="1339" t="s">
        <v>1509</v>
      </c>
      <c r="CN4" s="1339" t="s">
        <v>1510</v>
      </c>
      <c r="CO4" s="1339" t="s">
        <v>1511</v>
      </c>
      <c r="CP4" s="1339" t="s">
        <v>1512</v>
      </c>
      <c r="CQ4" s="1339" t="s">
        <v>1391</v>
      </c>
      <c r="CR4" s="1339" t="s">
        <v>1392</v>
      </c>
      <c r="CS4" s="1339" t="s">
        <v>1393</v>
      </c>
      <c r="CT4" s="1339" t="s">
        <v>1394</v>
      </c>
      <c r="CU4" s="1339" t="s">
        <v>1395</v>
      </c>
      <c r="CV4" s="1339" t="s">
        <v>1556</v>
      </c>
      <c r="CW4" s="1339" t="s">
        <v>1557</v>
      </c>
      <c r="CX4" s="1339" t="s">
        <v>1558</v>
      </c>
      <c r="CY4" s="1339" t="s">
        <v>1559</v>
      </c>
      <c r="CZ4" s="1339" t="s">
        <v>3676</v>
      </c>
      <c r="DA4" s="1339" t="s">
        <v>2155</v>
      </c>
      <c r="DB4" s="1339" t="s">
        <v>2156</v>
      </c>
      <c r="DC4" s="1339" t="s">
        <v>2157</v>
      </c>
      <c r="DD4" s="1339" t="s">
        <v>2158</v>
      </c>
      <c r="DE4" s="1339" t="s">
        <v>2159</v>
      </c>
      <c r="DF4" s="1339" t="s">
        <v>645</v>
      </c>
      <c r="DG4" s="1339" t="s">
        <v>646</v>
      </c>
      <c r="DH4" s="1339" t="s">
        <v>647</v>
      </c>
      <c r="DI4" s="1339" t="s">
        <v>648</v>
      </c>
      <c r="DJ4" s="1339" t="s">
        <v>649</v>
      </c>
      <c r="DK4" s="1339" t="s">
        <v>19</v>
      </c>
      <c r="DL4" s="1339" t="s">
        <v>20</v>
      </c>
      <c r="DM4" s="1339" t="s">
        <v>21</v>
      </c>
      <c r="DN4" s="1339" t="s">
        <v>22</v>
      </c>
      <c r="DO4" s="1339" t="s">
        <v>23</v>
      </c>
      <c r="DP4" s="1339" t="s">
        <v>285</v>
      </c>
      <c r="DQ4" s="1339" t="s">
        <v>286</v>
      </c>
      <c r="DR4" s="1339" t="s">
        <v>287</v>
      </c>
      <c r="DS4" s="1339" t="s">
        <v>2848</v>
      </c>
      <c r="DT4" s="1339" t="s">
        <v>2849</v>
      </c>
      <c r="DU4" s="1339" t="s">
        <v>2850</v>
      </c>
      <c r="DV4" s="1339" t="s">
        <v>909</v>
      </c>
      <c r="DW4" s="1339" t="s">
        <v>910</v>
      </c>
      <c r="DX4" s="1339" t="s">
        <v>911</v>
      </c>
      <c r="DY4" s="1339" t="s">
        <v>912</v>
      </c>
      <c r="DZ4" s="1339" t="s">
        <v>24</v>
      </c>
      <c r="EA4" s="1339" t="s">
        <v>25</v>
      </c>
      <c r="EB4" s="1339" t="s">
        <v>26</v>
      </c>
      <c r="EC4" s="1339" t="s">
        <v>27</v>
      </c>
      <c r="ED4" s="1339" t="s">
        <v>28</v>
      </c>
      <c r="EE4" s="1339" t="s">
        <v>733</v>
      </c>
      <c r="EF4" s="1339" t="s">
        <v>641</v>
      </c>
      <c r="EG4" s="1339" t="s">
        <v>642</v>
      </c>
      <c r="EH4" s="1339" t="s">
        <v>643</v>
      </c>
      <c r="EI4" s="1339" t="s">
        <v>644</v>
      </c>
      <c r="EJ4" s="1339" t="s">
        <v>3322</v>
      </c>
      <c r="EK4" s="1339" t="s">
        <v>3323</v>
      </c>
      <c r="EL4" s="1339" t="s">
        <v>3324</v>
      </c>
      <c r="EM4" s="1339" t="s">
        <v>2213</v>
      </c>
      <c r="EN4" s="1339" t="s">
        <v>2214</v>
      </c>
      <c r="EO4" s="1339" t="s">
        <v>29</v>
      </c>
      <c r="EP4" s="1339" t="s">
        <v>30</v>
      </c>
      <c r="EQ4" s="1339" t="s">
        <v>31</v>
      </c>
      <c r="ER4" s="1339" t="s">
        <v>32</v>
      </c>
      <c r="ES4" s="1339"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9" t="s">
        <v>2528</v>
      </c>
      <c r="GN4" s="1339" t="s">
        <v>3812</v>
      </c>
      <c r="GO4" s="1339" t="s">
        <v>3813</v>
      </c>
      <c r="GP4" s="1339" t="s">
        <v>490</v>
      </c>
      <c r="GQ4" s="1339" t="s">
        <v>491</v>
      </c>
      <c r="GR4" s="1339" t="s">
        <v>492</v>
      </c>
      <c r="GS4" s="1339" t="s">
        <v>493</v>
      </c>
      <c r="GT4" s="1339" t="s">
        <v>494</v>
      </c>
      <c r="GU4" s="1339" t="s">
        <v>495</v>
      </c>
      <c r="GV4" s="1339" t="s">
        <v>496</v>
      </c>
      <c r="GW4" s="1339" t="s">
        <v>260</v>
      </c>
      <c r="GX4" s="1339" t="s">
        <v>261</v>
      </c>
      <c r="GY4" s="1339" t="s">
        <v>262</v>
      </c>
      <c r="GZ4" s="1339" t="s">
        <v>263</v>
      </c>
      <c r="HA4" s="1339" t="s">
        <v>264</v>
      </c>
      <c r="HB4" s="1339" t="s">
        <v>265</v>
      </c>
      <c r="HC4" s="1339" t="s">
        <v>266</v>
      </c>
      <c r="HD4" s="1339" t="s">
        <v>267</v>
      </c>
      <c r="HE4" s="1339" t="s">
        <v>268</v>
      </c>
      <c r="HF4" s="1339" t="s">
        <v>269</v>
      </c>
      <c r="HG4" s="1339" t="s">
        <v>270</v>
      </c>
      <c r="HH4" s="1339" t="s">
        <v>271</v>
      </c>
      <c r="HI4" s="1339" t="s">
        <v>272</v>
      </c>
      <c r="HJ4" s="1339" t="s">
        <v>273</v>
      </c>
      <c r="HK4" s="1339" t="s">
        <v>274</v>
      </c>
    </row>
    <row r="5" spans="1:219" s="122" customFormat="1" ht="13.15" customHeight="1">
      <c r="B5" s="5" t="s">
        <v>2899</v>
      </c>
      <c r="D5" s="2"/>
      <c r="E5" s="5"/>
      <c r="F5" s="2"/>
      <c r="G5" s="831" t="s">
        <v>4008</v>
      </c>
      <c r="O5" s="2"/>
      <c r="P5" s="657" t="s">
        <v>1658</v>
      </c>
      <c r="T5" s="1340"/>
      <c r="U5" s="1340"/>
      <c r="V5" s="1340"/>
      <c r="W5" s="1340"/>
      <c r="X5" s="1340"/>
      <c r="Y5" s="1340"/>
      <c r="Z5" s="1340"/>
      <c r="AA5" s="1340"/>
      <c r="AB5" s="1340"/>
      <c r="AC5" s="1340"/>
      <c r="AD5" s="1340"/>
      <c r="AE5" s="1340"/>
      <c r="AF5" s="1340"/>
      <c r="AG5" s="1340"/>
      <c r="AH5" s="1340"/>
      <c r="AI5" s="1340"/>
      <c r="AJ5" s="1340"/>
      <c r="AK5" s="1340"/>
      <c r="AL5" s="1340"/>
      <c r="AM5" s="1340"/>
      <c r="AN5" s="1340"/>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0"/>
      <c r="BN5" s="1340"/>
      <c r="BO5" s="1340"/>
      <c r="BP5" s="1340"/>
      <c r="BQ5" s="1340"/>
      <c r="BR5" s="1340"/>
      <c r="BS5" s="1340"/>
      <c r="BT5" s="1340"/>
      <c r="BU5" s="1340"/>
      <c r="BV5" s="1340"/>
      <c r="BW5" s="1340"/>
      <c r="BX5" s="1340"/>
      <c r="BY5" s="1340"/>
      <c r="BZ5" s="1340"/>
      <c r="CA5" s="1340"/>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1339"/>
      <c r="DG5" s="1339"/>
      <c r="DH5" s="1339"/>
      <c r="DI5" s="1339"/>
      <c r="DJ5" s="1339"/>
      <c r="DK5" s="1339"/>
      <c r="DL5" s="1339"/>
      <c r="DM5" s="1339"/>
      <c r="DN5" s="1339"/>
      <c r="DO5" s="1339"/>
      <c r="DP5" s="1339"/>
      <c r="DQ5" s="1339"/>
      <c r="DR5" s="1339"/>
      <c r="DS5" s="1339"/>
      <c r="DT5" s="1339"/>
      <c r="DU5" s="1339"/>
      <c r="DV5" s="1339"/>
      <c r="DW5" s="1339"/>
      <c r="DX5" s="1339"/>
      <c r="DY5" s="1339"/>
      <c r="DZ5" s="1339"/>
      <c r="EA5" s="1339"/>
      <c r="EB5" s="1339"/>
      <c r="EC5" s="1339"/>
      <c r="ED5" s="1339"/>
      <c r="EE5" s="1339"/>
      <c r="EF5" s="1339"/>
      <c r="EG5" s="1339"/>
      <c r="EH5" s="1339"/>
      <c r="EI5" s="1339"/>
      <c r="EJ5" s="1339"/>
      <c r="EK5" s="1339"/>
      <c r="EL5" s="1339"/>
      <c r="EM5" s="1339"/>
      <c r="EN5" s="1339"/>
      <c r="EO5" s="1339"/>
      <c r="EP5" s="1339"/>
      <c r="EQ5" s="1339"/>
      <c r="ER5" s="1339"/>
      <c r="ES5" s="1339"/>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9"/>
      <c r="GN5" s="1339"/>
      <c r="GO5" s="1339"/>
      <c r="GP5" s="1339"/>
      <c r="GQ5" s="1339"/>
      <c r="GR5" s="1339"/>
      <c r="GS5" s="1339"/>
      <c r="GT5" s="1339"/>
      <c r="GU5" s="1339"/>
      <c r="GV5" s="1339"/>
      <c r="GW5" s="1339"/>
      <c r="GX5" s="1339"/>
      <c r="GY5" s="1339"/>
      <c r="GZ5" s="1339"/>
      <c r="HA5" s="1339"/>
      <c r="HB5" s="1339"/>
      <c r="HC5" s="1339"/>
      <c r="HD5" s="1339"/>
      <c r="HE5" s="1339"/>
      <c r="HF5" s="1339"/>
      <c r="HG5" s="1339"/>
      <c r="HH5" s="1339"/>
      <c r="HI5" s="1339"/>
      <c r="HJ5" s="1339"/>
      <c r="HK5" s="1339"/>
    </row>
    <row r="6" spans="1:219" s="122" customFormat="1" ht="13.15" customHeight="1">
      <c r="B6" s="35" t="s">
        <v>2839</v>
      </c>
      <c r="D6" s="2"/>
      <c r="E6" s="5"/>
      <c r="G6" s="832" t="s">
        <v>3926</v>
      </c>
      <c r="J6" s="737" t="s">
        <v>3646</v>
      </c>
      <c r="O6" s="2"/>
      <c r="P6" s="658">
        <f>VLOOKUP('Part I-Project Information'!$J$26,'DCA Underwriting Assumptions'!$C$77:$D$187,2)</f>
        <v>71800</v>
      </c>
      <c r="T6" s="1340"/>
      <c r="U6" s="1340"/>
      <c r="V6" s="1340"/>
      <c r="W6" s="1340"/>
      <c r="X6" s="1340"/>
      <c r="Y6" s="1340"/>
      <c r="Z6" s="1340"/>
      <c r="AA6" s="1340"/>
      <c r="AB6" s="1340"/>
      <c r="AC6" s="1340"/>
      <c r="AD6" s="1340"/>
      <c r="AE6" s="1340"/>
      <c r="AF6" s="1340"/>
      <c r="AG6" s="1340"/>
      <c r="AH6" s="1340"/>
      <c r="AI6" s="1340"/>
      <c r="AJ6" s="1340"/>
      <c r="AK6" s="1340"/>
      <c r="AL6" s="1340"/>
      <c r="AM6" s="1340"/>
      <c r="AN6" s="1340"/>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0"/>
      <c r="BU6" s="1340"/>
      <c r="BV6" s="1340"/>
      <c r="BW6" s="1340"/>
      <c r="BX6" s="1340"/>
      <c r="BY6" s="1340"/>
      <c r="BZ6" s="1340"/>
      <c r="CA6" s="1340"/>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1339"/>
      <c r="DG6" s="1339"/>
      <c r="DH6" s="1339"/>
      <c r="DI6" s="1339"/>
      <c r="DJ6" s="1339"/>
      <c r="DK6" s="1339"/>
      <c r="DL6" s="1339"/>
      <c r="DM6" s="1339"/>
      <c r="DN6" s="1339"/>
      <c r="DO6" s="1339"/>
      <c r="DP6" s="1339"/>
      <c r="DQ6" s="1339"/>
      <c r="DR6" s="1339"/>
      <c r="DS6" s="1339"/>
      <c r="DT6" s="1339"/>
      <c r="DU6" s="1339"/>
      <c r="DV6" s="1339"/>
      <c r="DW6" s="1339"/>
      <c r="DX6" s="1339"/>
      <c r="DY6" s="1339"/>
      <c r="DZ6" s="1339"/>
      <c r="EA6" s="1339"/>
      <c r="EB6" s="1339"/>
      <c r="EC6" s="1339"/>
      <c r="ED6" s="1339"/>
      <c r="EE6" s="1339"/>
      <c r="EF6" s="1339"/>
      <c r="EG6" s="1339"/>
      <c r="EH6" s="1339"/>
      <c r="EI6" s="1339"/>
      <c r="EJ6" s="1339"/>
      <c r="EK6" s="1339"/>
      <c r="EL6" s="1339"/>
      <c r="EM6" s="1339"/>
      <c r="EN6" s="1339"/>
      <c r="EO6" s="1339"/>
      <c r="EP6" s="1339"/>
      <c r="EQ6" s="1339"/>
      <c r="ER6" s="1339"/>
      <c r="ES6" s="1339"/>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9"/>
      <c r="GN6" s="1339"/>
      <c r="GO6" s="1339"/>
      <c r="GP6" s="1339"/>
      <c r="GQ6" s="1339"/>
      <c r="GR6" s="1339"/>
      <c r="GS6" s="1339"/>
      <c r="GT6" s="1339"/>
      <c r="GU6" s="1339"/>
      <c r="GV6" s="1339"/>
      <c r="GW6" s="1339"/>
      <c r="GX6" s="1339"/>
      <c r="GY6" s="1339"/>
      <c r="GZ6" s="1339"/>
      <c r="HA6" s="1339"/>
      <c r="HB6" s="1339"/>
      <c r="HC6" s="1339"/>
      <c r="HD6" s="1339"/>
      <c r="HE6" s="1339"/>
      <c r="HF6" s="1339"/>
      <c r="HG6" s="1339"/>
      <c r="HH6" s="1339"/>
      <c r="HI6" s="1339"/>
      <c r="HJ6" s="1339"/>
      <c r="HK6" s="1339"/>
    </row>
    <row r="7" spans="1:219" s="122" customFormat="1" ht="13.9" customHeight="1">
      <c r="A7" s="1342" t="str">
        <f>IF(A48&gt;0,"Finish!","")</f>
        <v/>
      </c>
      <c r="B7" s="5"/>
      <c r="C7" s="2"/>
      <c r="D7" s="5"/>
      <c r="E7" s="2"/>
      <c r="F7" s="2"/>
      <c r="G7" s="2"/>
      <c r="H7" s="2"/>
      <c r="I7" s="2"/>
      <c r="J7" s="3" t="s">
        <v>3647</v>
      </c>
      <c r="K7" s="2"/>
      <c r="L7" s="2"/>
      <c r="M7" s="2"/>
      <c r="N7" s="39"/>
      <c r="O7" s="39"/>
      <c r="P7" s="574"/>
      <c r="Q7" s="574"/>
      <c r="R7" s="574"/>
      <c r="T7" s="1340"/>
      <c r="U7" s="1340"/>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0"/>
      <c r="BU7" s="1340"/>
      <c r="BV7" s="1340"/>
      <c r="BW7" s="1340"/>
      <c r="BX7" s="1340"/>
      <c r="BY7" s="1340"/>
      <c r="BZ7" s="1340"/>
      <c r="CA7" s="1340"/>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1339"/>
      <c r="DG7" s="1339"/>
      <c r="DH7" s="1339"/>
      <c r="DI7" s="1339"/>
      <c r="DJ7" s="1339"/>
      <c r="DK7" s="1339"/>
      <c r="DL7" s="1339"/>
      <c r="DM7" s="1339"/>
      <c r="DN7" s="1339"/>
      <c r="DO7" s="1339"/>
      <c r="DP7" s="1339"/>
      <c r="DQ7" s="1339"/>
      <c r="DR7" s="1339"/>
      <c r="DS7" s="1339"/>
      <c r="DT7" s="1339"/>
      <c r="DU7" s="1339"/>
      <c r="DV7" s="1339"/>
      <c r="DW7" s="1339"/>
      <c r="DX7" s="1339"/>
      <c r="DY7" s="1339"/>
      <c r="DZ7" s="1339"/>
      <c r="EA7" s="1339"/>
      <c r="EB7" s="1339"/>
      <c r="EC7" s="1339"/>
      <c r="ED7" s="1339"/>
      <c r="EE7" s="1339"/>
      <c r="EF7" s="1339"/>
      <c r="EG7" s="1339"/>
      <c r="EH7" s="1339"/>
      <c r="EI7" s="1339"/>
      <c r="EJ7" s="1339"/>
      <c r="EK7" s="1339"/>
      <c r="EL7" s="1339"/>
      <c r="EM7" s="1339"/>
      <c r="EN7" s="1339"/>
      <c r="EO7" s="1339"/>
      <c r="EP7" s="1339"/>
      <c r="EQ7" s="1339"/>
      <c r="ER7" s="1339"/>
      <c r="ES7" s="1339"/>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9"/>
      <c r="GN7" s="1339"/>
      <c r="GO7" s="1339"/>
      <c r="GP7" s="1339"/>
      <c r="GQ7" s="1339"/>
      <c r="GR7" s="1339"/>
      <c r="GS7" s="1339"/>
      <c r="GT7" s="1339"/>
      <c r="GU7" s="1339"/>
      <c r="GV7" s="1339"/>
      <c r="GW7" s="1339"/>
      <c r="GX7" s="1339"/>
      <c r="GY7" s="1339"/>
      <c r="GZ7" s="1339"/>
      <c r="HA7" s="1339"/>
      <c r="HB7" s="1339"/>
      <c r="HC7" s="1339"/>
      <c r="HD7" s="1339"/>
      <c r="HE7" s="1339"/>
      <c r="HF7" s="1339"/>
      <c r="HG7" s="1339"/>
      <c r="HH7" s="1339"/>
      <c r="HI7" s="1339"/>
      <c r="HJ7" s="1339"/>
      <c r="HK7" s="1339"/>
    </row>
    <row r="8" spans="1:219" s="150" customFormat="1" ht="13.9" customHeight="1">
      <c r="A8" s="1342"/>
      <c r="B8" s="220" t="s">
        <v>2212</v>
      </c>
      <c r="C8" s="737" t="s">
        <v>228</v>
      </c>
      <c r="D8" s="737" t="s">
        <v>839</v>
      </c>
      <c r="E8" s="737" t="s">
        <v>2210</v>
      </c>
      <c r="F8" s="737" t="s">
        <v>2210</v>
      </c>
      <c r="G8" s="737" t="s">
        <v>3618</v>
      </c>
      <c r="H8" s="737" t="s">
        <v>3616</v>
      </c>
      <c r="I8" s="737" t="s">
        <v>1380</v>
      </c>
      <c r="J8" s="737" t="s">
        <v>3648</v>
      </c>
      <c r="K8" s="1341" t="s">
        <v>186</v>
      </c>
      <c r="L8" s="1341"/>
      <c r="M8" s="737" t="s">
        <v>3573</v>
      </c>
      <c r="N8" s="737" t="s">
        <v>825</v>
      </c>
      <c r="O8" s="737" t="s">
        <v>487</v>
      </c>
      <c r="P8" s="1344" t="s">
        <v>1665</v>
      </c>
      <c r="Q8" s="1344"/>
      <c r="R8" s="738"/>
      <c r="T8" s="1340"/>
      <c r="U8" s="1340"/>
      <c r="V8" s="1340"/>
      <c r="W8" s="1340"/>
      <c r="X8" s="1340"/>
      <c r="Y8" s="1340"/>
      <c r="Z8" s="1340"/>
      <c r="AA8" s="1340"/>
      <c r="AB8" s="1340"/>
      <c r="AC8" s="1340"/>
      <c r="AD8" s="1340"/>
      <c r="AE8" s="1340"/>
      <c r="AF8" s="1340"/>
      <c r="AG8" s="1340"/>
      <c r="AH8" s="1340"/>
      <c r="AI8" s="1340"/>
      <c r="AJ8" s="1340"/>
      <c r="AK8" s="1340"/>
      <c r="AL8" s="1340"/>
      <c r="AM8" s="1340"/>
      <c r="AN8" s="1340"/>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0"/>
      <c r="BU8" s="1340"/>
      <c r="BV8" s="1340"/>
      <c r="BW8" s="1340"/>
      <c r="BX8" s="1340"/>
      <c r="BY8" s="1340"/>
      <c r="BZ8" s="1340"/>
      <c r="CA8" s="1340"/>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1339"/>
      <c r="DG8" s="1339"/>
      <c r="DH8" s="1339"/>
      <c r="DI8" s="1339"/>
      <c r="DJ8" s="1339"/>
      <c r="DK8" s="1339"/>
      <c r="DL8" s="1339"/>
      <c r="DM8" s="1339"/>
      <c r="DN8" s="1339"/>
      <c r="DO8" s="1339"/>
      <c r="DP8" s="1339"/>
      <c r="DQ8" s="1339"/>
      <c r="DR8" s="1339"/>
      <c r="DS8" s="1339"/>
      <c r="DT8" s="1339"/>
      <c r="DU8" s="1339"/>
      <c r="DV8" s="1339"/>
      <c r="DW8" s="1339"/>
      <c r="DX8" s="1339"/>
      <c r="DY8" s="1339"/>
      <c r="DZ8" s="1339"/>
      <c r="EA8" s="1339"/>
      <c r="EB8" s="1339"/>
      <c r="EC8" s="1339"/>
      <c r="ED8" s="1339"/>
      <c r="EE8" s="1339"/>
      <c r="EF8" s="1339"/>
      <c r="EG8" s="1339"/>
      <c r="EH8" s="1339"/>
      <c r="EI8" s="1339"/>
      <c r="EJ8" s="1339"/>
      <c r="EK8" s="1339"/>
      <c r="EL8" s="1339"/>
      <c r="EM8" s="1339"/>
      <c r="EN8" s="1339"/>
      <c r="EO8" s="1339"/>
      <c r="EP8" s="1339"/>
      <c r="EQ8" s="1339"/>
      <c r="ER8" s="1339"/>
      <c r="ES8" s="1339"/>
      <c r="ET8" s="1339" t="s">
        <v>2187</v>
      </c>
      <c r="EU8" s="445" t="s">
        <v>3687</v>
      </c>
      <c r="EV8" s="445" t="s">
        <v>3688</v>
      </c>
      <c r="EW8" s="445" t="s">
        <v>3689</v>
      </c>
      <c r="EX8" s="445" t="s">
        <v>3690</v>
      </c>
      <c r="EY8" s="1339" t="s">
        <v>3777</v>
      </c>
      <c r="EZ8" s="1339" t="s">
        <v>3777</v>
      </c>
      <c r="FA8" s="1339" t="s">
        <v>3777</v>
      </c>
      <c r="FB8" s="1339" t="s">
        <v>3777</v>
      </c>
      <c r="FC8" s="1339" t="s">
        <v>3777</v>
      </c>
      <c r="FD8" s="445" t="s">
        <v>716</v>
      </c>
      <c r="FE8" s="445" t="s">
        <v>3687</v>
      </c>
      <c r="FF8" s="445" t="s">
        <v>3688</v>
      </c>
      <c r="FG8" s="445" t="s">
        <v>3689</v>
      </c>
      <c r="FH8" s="445" t="s">
        <v>3690</v>
      </c>
      <c r="FI8" s="1339" t="s">
        <v>3779</v>
      </c>
      <c r="FJ8" s="1339" t="s">
        <v>3779</v>
      </c>
      <c r="FK8" s="1339" t="s">
        <v>3779</v>
      </c>
      <c r="FL8" s="1339" t="s">
        <v>3779</v>
      </c>
      <c r="FM8" s="1339" t="s">
        <v>3779</v>
      </c>
      <c r="FN8" s="1339" t="s">
        <v>459</v>
      </c>
      <c r="FO8" s="1339" t="s">
        <v>459</v>
      </c>
      <c r="FP8" s="1339" t="s">
        <v>459</v>
      </c>
      <c r="FQ8" s="1339" t="s">
        <v>459</v>
      </c>
      <c r="FR8" s="1339" t="s">
        <v>459</v>
      </c>
      <c r="FS8" s="1339" t="s">
        <v>460</v>
      </c>
      <c r="FT8" s="1339" t="s">
        <v>460</v>
      </c>
      <c r="FU8" s="1339" t="s">
        <v>460</v>
      </c>
      <c r="FV8" s="1339" t="s">
        <v>460</v>
      </c>
      <c r="FW8" s="1339" t="s">
        <v>460</v>
      </c>
      <c r="FX8" s="1339" t="s">
        <v>461</v>
      </c>
      <c r="FY8" s="1339" t="s">
        <v>461</v>
      </c>
      <c r="FZ8" s="1339" t="s">
        <v>461</v>
      </c>
      <c r="GA8" s="1339" t="s">
        <v>461</v>
      </c>
      <c r="GB8" s="1339" t="s">
        <v>461</v>
      </c>
      <c r="GC8" s="1339" t="s">
        <v>462</v>
      </c>
      <c r="GD8" s="1339" t="s">
        <v>462</v>
      </c>
      <c r="GE8" s="1339" t="s">
        <v>462</v>
      </c>
      <c r="GF8" s="1339" t="s">
        <v>462</v>
      </c>
      <c r="GG8" s="1339" t="s">
        <v>462</v>
      </c>
      <c r="GH8" s="1339" t="s">
        <v>2186</v>
      </c>
      <c r="GI8" s="1339" t="s">
        <v>2186</v>
      </c>
      <c r="GJ8" s="1339" t="s">
        <v>2186</v>
      </c>
      <c r="GK8" s="1339" t="s">
        <v>2186</v>
      </c>
      <c r="GL8" s="1339" t="s">
        <v>2186</v>
      </c>
      <c r="GM8" s="1339"/>
      <c r="GN8" s="1339"/>
      <c r="GO8" s="1339"/>
      <c r="GP8" s="1339"/>
      <c r="GQ8" s="1339"/>
      <c r="GR8" s="1339"/>
      <c r="GS8" s="1339"/>
      <c r="GT8" s="1339"/>
      <c r="GU8" s="1339"/>
      <c r="GV8" s="1339"/>
      <c r="GW8" s="1339"/>
      <c r="GX8" s="1339"/>
      <c r="GY8" s="1339"/>
      <c r="GZ8" s="1339"/>
      <c r="HA8" s="1339"/>
      <c r="HB8" s="1339"/>
      <c r="HC8" s="1339"/>
      <c r="HD8" s="1339"/>
      <c r="HE8" s="1339"/>
      <c r="HF8" s="1339"/>
      <c r="HG8" s="1339"/>
      <c r="HH8" s="1339"/>
      <c r="HI8" s="1339"/>
      <c r="HJ8" s="1339"/>
      <c r="HK8" s="1339"/>
    </row>
    <row r="9" spans="1:219" s="150" customFormat="1" ht="13.9" customHeight="1">
      <c r="A9" s="1342"/>
      <c r="B9" s="220" t="s">
        <v>1996</v>
      </c>
      <c r="C9" s="737" t="s">
        <v>227</v>
      </c>
      <c r="D9" s="737" t="s">
        <v>229</v>
      </c>
      <c r="E9" s="737" t="s">
        <v>2211</v>
      </c>
      <c r="F9" s="737" t="s">
        <v>1963</v>
      </c>
      <c r="G9" s="737" t="s">
        <v>1964</v>
      </c>
      <c r="H9" s="737" t="s">
        <v>3617</v>
      </c>
      <c r="I9" s="737" t="s">
        <v>1381</v>
      </c>
      <c r="J9" s="684" t="s">
        <v>450</v>
      </c>
      <c r="K9" s="737" t="s">
        <v>2281</v>
      </c>
      <c r="L9" s="737" t="s">
        <v>832</v>
      </c>
      <c r="M9" s="737" t="s">
        <v>2210</v>
      </c>
      <c r="N9" s="737" t="s">
        <v>1996</v>
      </c>
      <c r="O9" s="737" t="s">
        <v>488</v>
      </c>
      <c r="P9" s="738" t="s">
        <v>1663</v>
      </c>
      <c r="Q9" s="738" t="s">
        <v>1664</v>
      </c>
      <c r="R9" s="738"/>
      <c r="S9" s="738" t="s">
        <v>656</v>
      </c>
      <c r="T9" s="1340"/>
      <c r="U9" s="1340"/>
      <c r="V9" s="1340"/>
      <c r="W9" s="1340"/>
      <c r="X9" s="1340"/>
      <c r="Y9" s="1340"/>
      <c r="Z9" s="1340"/>
      <c r="AA9" s="1340"/>
      <c r="AB9" s="1340"/>
      <c r="AC9" s="1340"/>
      <c r="AD9" s="1340"/>
      <c r="AE9" s="1340"/>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0"/>
      <c r="BU9" s="1340"/>
      <c r="BV9" s="1340"/>
      <c r="BW9" s="1340"/>
      <c r="BX9" s="1340"/>
      <c r="BY9" s="1340"/>
      <c r="BZ9" s="1340"/>
      <c r="CA9" s="1340"/>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1339"/>
      <c r="DG9" s="1339"/>
      <c r="DH9" s="1339"/>
      <c r="DI9" s="1339"/>
      <c r="DJ9" s="1339"/>
      <c r="DK9" s="1339"/>
      <c r="DL9" s="1339"/>
      <c r="DM9" s="1339"/>
      <c r="DN9" s="1339"/>
      <c r="DO9" s="1339"/>
      <c r="DP9" s="1339"/>
      <c r="DQ9" s="1339"/>
      <c r="DR9" s="1339"/>
      <c r="DS9" s="1339"/>
      <c r="DT9" s="1339"/>
      <c r="DU9" s="1339"/>
      <c r="DV9" s="1339"/>
      <c r="DW9" s="1339"/>
      <c r="DX9" s="1339"/>
      <c r="DY9" s="1339"/>
      <c r="DZ9" s="1339"/>
      <c r="EA9" s="1339"/>
      <c r="EB9" s="1339"/>
      <c r="EC9" s="1339"/>
      <c r="ED9" s="1339"/>
      <c r="EE9" s="1339"/>
      <c r="EF9" s="1339"/>
      <c r="EG9" s="1339"/>
      <c r="EH9" s="1339"/>
      <c r="EI9" s="1339"/>
      <c r="EJ9" s="1339"/>
      <c r="EK9" s="1339"/>
      <c r="EL9" s="1339"/>
      <c r="EM9" s="1339"/>
      <c r="EN9" s="1339"/>
      <c r="EO9" s="1339"/>
      <c r="EP9" s="1339"/>
      <c r="EQ9" s="1339"/>
      <c r="ER9" s="1339"/>
      <c r="ES9" s="1339"/>
      <c r="ET9" s="1339"/>
      <c r="EU9" s="445" t="s">
        <v>3776</v>
      </c>
      <c r="EV9" s="445" t="s">
        <v>3776</v>
      </c>
      <c r="EW9" s="445" t="s">
        <v>3776</v>
      </c>
      <c r="EX9" s="445" t="s">
        <v>3776</v>
      </c>
      <c r="EY9" s="1339"/>
      <c r="EZ9" s="1339"/>
      <c r="FA9" s="1339"/>
      <c r="FB9" s="1339"/>
      <c r="FC9" s="1339"/>
      <c r="FD9" s="445" t="s">
        <v>3778</v>
      </c>
      <c r="FE9" s="445" t="s">
        <v>3778</v>
      </c>
      <c r="FF9" s="445" t="s">
        <v>3778</v>
      </c>
      <c r="FG9" s="445" t="s">
        <v>3778</v>
      </c>
      <c r="FH9" s="445" t="s">
        <v>3778</v>
      </c>
      <c r="FI9" s="1339"/>
      <c r="FJ9" s="1339"/>
      <c r="FK9" s="1339"/>
      <c r="FL9" s="1339"/>
      <c r="FM9" s="1339"/>
      <c r="FN9" s="1339"/>
      <c r="FO9" s="1339"/>
      <c r="FP9" s="1339"/>
      <c r="FQ9" s="1339"/>
      <c r="FR9" s="1339"/>
      <c r="FS9" s="1339"/>
      <c r="FT9" s="1339"/>
      <c r="FU9" s="1339"/>
      <c r="FV9" s="1339"/>
      <c r="FW9" s="1339"/>
      <c r="FX9" s="1339"/>
      <c r="FY9" s="1339"/>
      <c r="FZ9" s="1339"/>
      <c r="GA9" s="1339"/>
      <c r="GB9" s="1339"/>
      <c r="GC9" s="1339"/>
      <c r="GD9" s="1339"/>
      <c r="GE9" s="1339"/>
      <c r="GF9" s="1339"/>
      <c r="GG9" s="1339"/>
      <c r="GH9" s="1339"/>
      <c r="GI9" s="1339"/>
      <c r="GJ9" s="1339"/>
      <c r="GK9" s="1339"/>
      <c r="GL9" s="1339"/>
      <c r="GM9" s="1339"/>
      <c r="GN9" s="1339"/>
      <c r="GO9" s="1339"/>
      <c r="GP9" s="1339"/>
      <c r="GQ9" s="1339"/>
      <c r="GR9" s="1339"/>
      <c r="GS9" s="1339"/>
      <c r="GT9" s="1339"/>
      <c r="GU9" s="1339"/>
      <c r="GV9" s="1339"/>
      <c r="GW9" s="1339"/>
      <c r="GX9" s="1339"/>
      <c r="GY9" s="1339"/>
      <c r="GZ9" s="1339"/>
      <c r="HA9" s="1339"/>
      <c r="HB9" s="1339"/>
      <c r="HC9" s="1339"/>
      <c r="HD9" s="1339"/>
      <c r="HE9" s="1339"/>
      <c r="HF9" s="1339"/>
      <c r="HG9" s="1339"/>
      <c r="HH9" s="1339"/>
      <c r="HI9" s="1339"/>
      <c r="HJ9" s="1339"/>
      <c r="HK9" s="1339"/>
    </row>
    <row r="10" spans="1:219" ht="13.15" customHeight="1">
      <c r="A10" s="146" t="str">
        <f>IF(AND(E10&gt;0,OR(B10="",C10="",D10="",F10="",G10="", H10="",M10="",N10="",O10="")),1,"")</f>
        <v/>
      </c>
      <c r="B10" s="833" t="s">
        <v>133</v>
      </c>
      <c r="C10" s="834">
        <v>1</v>
      </c>
      <c r="D10" s="835">
        <v>1</v>
      </c>
      <c r="E10" s="836">
        <v>12</v>
      </c>
      <c r="F10" s="836">
        <v>650</v>
      </c>
      <c r="G10" s="836">
        <v>641</v>
      </c>
      <c r="H10" s="836">
        <v>628</v>
      </c>
      <c r="I10" s="836">
        <v>113</v>
      </c>
      <c r="J10" s="837"/>
      <c r="K10" s="226">
        <f>MAX(0,H10-I10)</f>
        <v>515</v>
      </c>
      <c r="L10" s="226">
        <f t="shared" ref="L10:L47" si="0">MAX(0,E10*K10)</f>
        <v>6180</v>
      </c>
      <c r="M10" s="838" t="s">
        <v>3926</v>
      </c>
      <c r="N10" s="838" t="s">
        <v>3964</v>
      </c>
      <c r="O10" s="838" t="s">
        <v>3436</v>
      </c>
      <c r="P10" s="581">
        <f>IF(H10="","",H10*12/0.3)</f>
        <v>25120</v>
      </c>
      <c r="Q10" s="582">
        <f>IF(H10="","",P10/($P$6*VLOOKUP(C10,'DCA Underwriting Assumptions'!$J$77:$K$82,2,FALSE)))</f>
        <v>0.46648096564531105</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12</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7800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12</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12</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12</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839" t="s">
        <v>1791</v>
      </c>
      <c r="C11" s="840">
        <v>1</v>
      </c>
      <c r="D11" s="841">
        <v>1</v>
      </c>
      <c r="E11" s="842">
        <v>48</v>
      </c>
      <c r="F11" s="842">
        <v>650</v>
      </c>
      <c r="G11" s="842">
        <v>769</v>
      </c>
      <c r="H11" s="842">
        <v>754</v>
      </c>
      <c r="I11" s="842">
        <v>113</v>
      </c>
      <c r="J11" s="843"/>
      <c r="K11" s="227">
        <f t="shared" ref="K11:K27" si="172">MAX(0,H11-I11)</f>
        <v>641</v>
      </c>
      <c r="L11" s="227">
        <f t="shared" si="0"/>
        <v>30768</v>
      </c>
      <c r="M11" s="844" t="s">
        <v>3926</v>
      </c>
      <c r="N11" s="844" t="s">
        <v>3964</v>
      </c>
      <c r="O11" s="844" t="s">
        <v>3436</v>
      </c>
      <c r="P11" s="581">
        <f>IF(H11="","",H11*12/0.3)</f>
        <v>30160</v>
      </c>
      <c r="Q11" s="582">
        <f>IF(H11="","",P11/($P$6*VLOOKUP(C11,'DCA Underwriting Assumptions'!$J$77:$K$82,2,FALSE)))</f>
        <v>0.56007428040854224</v>
      </c>
      <c r="R11" s="738"/>
      <c r="S11" s="659"/>
      <c r="T11" s="113" t="str">
        <f t="shared" si="1"/>
        <v/>
      </c>
      <c r="U11" s="113">
        <f t="shared" si="2"/>
        <v>48</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31200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48</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48</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f t="shared" si="142"/>
        <v>48</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839"/>
      <c r="C12" s="840"/>
      <c r="D12" s="841"/>
      <c r="E12" s="842"/>
      <c r="F12" s="842"/>
      <c r="G12" s="842"/>
      <c r="H12" s="842"/>
      <c r="I12" s="842"/>
      <c r="J12" s="843"/>
      <c r="K12" s="227">
        <f t="shared" si="172"/>
        <v>0</v>
      </c>
      <c r="L12" s="227">
        <f t="shared" si="0"/>
        <v>0</v>
      </c>
      <c r="M12" s="844"/>
      <c r="N12" s="844"/>
      <c r="O12" s="844"/>
      <c r="P12" s="581" t="str">
        <f>IF(H12="","",H12*12/0.3)</f>
        <v/>
      </c>
      <c r="Q12" s="582" t="str">
        <f>IF(H12="","",P12/($P$6*VLOOKUP(C12,'DCA Underwriting Assumptions'!$J$77:$K$82,2,FALSE)))</f>
        <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839"/>
      <c r="C13" s="840"/>
      <c r="D13" s="841"/>
      <c r="E13" s="842"/>
      <c r="F13" s="842"/>
      <c r="G13" s="842"/>
      <c r="H13" s="842"/>
      <c r="I13" s="842"/>
      <c r="J13" s="843"/>
      <c r="K13" s="227">
        <f t="shared" si="172"/>
        <v>0</v>
      </c>
      <c r="L13" s="227">
        <f t="shared" si="0"/>
        <v>0</v>
      </c>
      <c r="M13" s="844"/>
      <c r="N13" s="844"/>
      <c r="O13" s="844"/>
      <c r="P13" s="581" t="str">
        <f>IF(H13="","",H13*12/0.3)</f>
        <v/>
      </c>
      <c r="Q13" s="582" t="str">
        <f>IF(H13="","",P13/($P$6*VLOOKUP(C13,'DCA Underwriting Assumptions'!$J$77:$K$82,2,FALSE)))</f>
        <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839"/>
      <c r="C14" s="840"/>
      <c r="D14" s="841"/>
      <c r="E14" s="842"/>
      <c r="F14" s="842"/>
      <c r="G14" s="842"/>
      <c r="H14" s="842"/>
      <c r="I14" s="842"/>
      <c r="J14" s="843"/>
      <c r="K14" s="227">
        <f t="shared" si="172"/>
        <v>0</v>
      </c>
      <c r="L14" s="227">
        <f t="shared" si="0"/>
        <v>0</v>
      </c>
      <c r="M14" s="844"/>
      <c r="N14" s="844"/>
      <c r="O14" s="844"/>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839"/>
      <c r="C15" s="840"/>
      <c r="D15" s="841"/>
      <c r="E15" s="842"/>
      <c r="F15" s="842"/>
      <c r="G15" s="842"/>
      <c r="H15" s="842"/>
      <c r="I15" s="842"/>
      <c r="J15" s="843"/>
      <c r="K15" s="227">
        <f t="shared" si="172"/>
        <v>0</v>
      </c>
      <c r="L15" s="227">
        <f t="shared" si="0"/>
        <v>0</v>
      </c>
      <c r="M15" s="844"/>
      <c r="N15" s="844"/>
      <c r="O15" s="844"/>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839"/>
      <c r="C16" s="840"/>
      <c r="D16" s="841"/>
      <c r="E16" s="842"/>
      <c r="F16" s="842"/>
      <c r="G16" s="842"/>
      <c r="H16" s="842"/>
      <c r="I16" s="842"/>
      <c r="J16" s="843"/>
      <c r="K16" s="227">
        <f t="shared" si="172"/>
        <v>0</v>
      </c>
      <c r="L16" s="227">
        <f t="shared" si="0"/>
        <v>0</v>
      </c>
      <c r="M16" s="844"/>
      <c r="N16" s="844"/>
      <c r="O16" s="844"/>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839"/>
      <c r="C17" s="840"/>
      <c r="D17" s="841"/>
      <c r="E17" s="842"/>
      <c r="F17" s="842"/>
      <c r="G17" s="842"/>
      <c r="H17" s="842"/>
      <c r="I17" s="842"/>
      <c r="J17" s="843"/>
      <c r="K17" s="227">
        <f t="shared" si="172"/>
        <v>0</v>
      </c>
      <c r="L17" s="227">
        <f t="shared" si="0"/>
        <v>0</v>
      </c>
      <c r="M17" s="844"/>
      <c r="N17" s="844"/>
      <c r="O17" s="844"/>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839"/>
      <c r="C18" s="840"/>
      <c r="D18" s="841"/>
      <c r="E18" s="842"/>
      <c r="F18" s="842"/>
      <c r="G18" s="842"/>
      <c r="H18" s="842"/>
      <c r="I18" s="842"/>
      <c r="J18" s="843"/>
      <c r="K18" s="227">
        <f t="shared" si="172"/>
        <v>0</v>
      </c>
      <c r="L18" s="227">
        <f t="shared" si="0"/>
        <v>0</v>
      </c>
      <c r="M18" s="844"/>
      <c r="N18" s="844"/>
      <c r="O18" s="844"/>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839"/>
      <c r="C19" s="840"/>
      <c r="D19" s="841"/>
      <c r="E19" s="842"/>
      <c r="F19" s="842"/>
      <c r="G19" s="842"/>
      <c r="H19" s="842"/>
      <c r="I19" s="842"/>
      <c r="J19" s="843"/>
      <c r="K19" s="227">
        <f t="shared" si="172"/>
        <v>0</v>
      </c>
      <c r="L19" s="227">
        <f t="shared" si="0"/>
        <v>0</v>
      </c>
      <c r="M19" s="844"/>
      <c r="N19" s="844"/>
      <c r="O19" s="844"/>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839"/>
      <c r="C20" s="840"/>
      <c r="D20" s="841"/>
      <c r="E20" s="842"/>
      <c r="F20" s="842"/>
      <c r="G20" s="842"/>
      <c r="H20" s="842"/>
      <c r="I20" s="842"/>
      <c r="J20" s="843"/>
      <c r="K20" s="227">
        <f t="shared" si="172"/>
        <v>0</v>
      </c>
      <c r="L20" s="227">
        <f t="shared" si="0"/>
        <v>0</v>
      </c>
      <c r="M20" s="844"/>
      <c r="N20" s="844"/>
      <c r="O20" s="844"/>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839"/>
      <c r="C21" s="840"/>
      <c r="D21" s="841"/>
      <c r="E21" s="842"/>
      <c r="F21" s="842"/>
      <c r="G21" s="842"/>
      <c r="H21" s="842"/>
      <c r="I21" s="842"/>
      <c r="J21" s="843"/>
      <c r="K21" s="227">
        <f t="shared" si="172"/>
        <v>0</v>
      </c>
      <c r="L21" s="227">
        <f t="shared" si="0"/>
        <v>0</v>
      </c>
      <c r="M21" s="844"/>
      <c r="N21" s="844"/>
      <c r="O21" s="844"/>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839"/>
      <c r="C22" s="840"/>
      <c r="D22" s="841"/>
      <c r="E22" s="842"/>
      <c r="F22" s="842"/>
      <c r="G22" s="842"/>
      <c r="H22" s="842"/>
      <c r="I22" s="842"/>
      <c r="J22" s="843"/>
      <c r="K22" s="227">
        <f t="shared" si="172"/>
        <v>0</v>
      </c>
      <c r="L22" s="227">
        <f t="shared" si="0"/>
        <v>0</v>
      </c>
      <c r="M22" s="844"/>
      <c r="N22" s="844"/>
      <c r="O22" s="844"/>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839"/>
      <c r="C23" s="840"/>
      <c r="D23" s="841"/>
      <c r="E23" s="842"/>
      <c r="F23" s="842"/>
      <c r="G23" s="842"/>
      <c r="H23" s="842"/>
      <c r="I23" s="842"/>
      <c r="J23" s="843"/>
      <c r="K23" s="227">
        <f t="shared" si="172"/>
        <v>0</v>
      </c>
      <c r="L23" s="227">
        <f t="shared" si="0"/>
        <v>0</v>
      </c>
      <c r="M23" s="844"/>
      <c r="N23" s="844"/>
      <c r="O23" s="844"/>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839"/>
      <c r="C24" s="840"/>
      <c r="D24" s="841"/>
      <c r="E24" s="842"/>
      <c r="F24" s="842"/>
      <c r="G24" s="842"/>
      <c r="H24" s="842"/>
      <c r="I24" s="842"/>
      <c r="J24" s="843"/>
      <c r="K24" s="227">
        <f t="shared" si="172"/>
        <v>0</v>
      </c>
      <c r="L24" s="227">
        <f t="shared" si="0"/>
        <v>0</v>
      </c>
      <c r="M24" s="844"/>
      <c r="N24" s="844"/>
      <c r="O24" s="844"/>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839"/>
      <c r="C25" s="840"/>
      <c r="D25" s="841"/>
      <c r="E25" s="842"/>
      <c r="F25" s="842"/>
      <c r="G25" s="842"/>
      <c r="H25" s="842"/>
      <c r="I25" s="842"/>
      <c r="J25" s="843"/>
      <c r="K25" s="227">
        <f t="shared" si="172"/>
        <v>0</v>
      </c>
      <c r="L25" s="227">
        <f t="shared" si="0"/>
        <v>0</v>
      </c>
      <c r="M25" s="844"/>
      <c r="N25" s="844"/>
      <c r="O25" s="844"/>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839"/>
      <c r="C26" s="840"/>
      <c r="D26" s="841"/>
      <c r="E26" s="842"/>
      <c r="F26" s="842"/>
      <c r="G26" s="842"/>
      <c r="H26" s="842"/>
      <c r="I26" s="842"/>
      <c r="J26" s="843"/>
      <c r="K26" s="227">
        <f t="shared" si="172"/>
        <v>0</v>
      </c>
      <c r="L26" s="227">
        <f t="shared" si="0"/>
        <v>0</v>
      </c>
      <c r="M26" s="844"/>
      <c r="N26" s="844"/>
      <c r="O26" s="844"/>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839"/>
      <c r="C27" s="840"/>
      <c r="D27" s="841"/>
      <c r="E27" s="842"/>
      <c r="F27" s="842"/>
      <c r="G27" s="842"/>
      <c r="H27" s="842"/>
      <c r="I27" s="842"/>
      <c r="J27" s="843"/>
      <c r="K27" s="227">
        <f t="shared" si="172"/>
        <v>0</v>
      </c>
      <c r="L27" s="227">
        <f t="shared" si="0"/>
        <v>0</v>
      </c>
      <c r="M27" s="844"/>
      <c r="N27" s="844"/>
      <c r="O27" s="844"/>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839"/>
      <c r="C28" s="840"/>
      <c r="D28" s="841"/>
      <c r="E28" s="842"/>
      <c r="F28" s="842"/>
      <c r="G28" s="842"/>
      <c r="H28" s="842"/>
      <c r="I28" s="842"/>
      <c r="J28" s="843"/>
      <c r="K28" s="227">
        <f>MAX(0,H28-I28)</f>
        <v>0</v>
      </c>
      <c r="L28" s="227">
        <f t="shared" si="0"/>
        <v>0</v>
      </c>
      <c r="M28" s="844"/>
      <c r="N28" s="844"/>
      <c r="O28" s="844"/>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839"/>
      <c r="C29" s="840"/>
      <c r="D29" s="841"/>
      <c r="E29" s="842"/>
      <c r="F29" s="842"/>
      <c r="G29" s="842"/>
      <c r="H29" s="842"/>
      <c r="I29" s="842"/>
      <c r="J29" s="843"/>
      <c r="K29" s="227">
        <f t="shared" ref="K29:K47" si="204">MAX(0,H29-I29)</f>
        <v>0</v>
      </c>
      <c r="L29" s="227">
        <f t="shared" si="0"/>
        <v>0</v>
      </c>
      <c r="M29" s="844"/>
      <c r="N29" s="844"/>
      <c r="O29" s="844"/>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839"/>
      <c r="C30" s="840"/>
      <c r="D30" s="841"/>
      <c r="E30" s="842"/>
      <c r="F30" s="842"/>
      <c r="G30" s="842"/>
      <c r="H30" s="842"/>
      <c r="I30" s="842"/>
      <c r="J30" s="843"/>
      <c r="K30" s="227">
        <f t="shared" si="204"/>
        <v>0</v>
      </c>
      <c r="L30" s="227">
        <f t="shared" si="0"/>
        <v>0</v>
      </c>
      <c r="M30" s="844"/>
      <c r="N30" s="844"/>
      <c r="O30" s="844"/>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839"/>
      <c r="C31" s="840"/>
      <c r="D31" s="841"/>
      <c r="E31" s="842"/>
      <c r="F31" s="842"/>
      <c r="G31" s="842"/>
      <c r="H31" s="842"/>
      <c r="I31" s="842"/>
      <c r="J31" s="843"/>
      <c r="K31" s="227">
        <f t="shared" si="204"/>
        <v>0</v>
      </c>
      <c r="L31" s="227">
        <f t="shared" si="0"/>
        <v>0</v>
      </c>
      <c r="M31" s="844"/>
      <c r="N31" s="844"/>
      <c r="O31" s="844"/>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839"/>
      <c r="C32" s="840"/>
      <c r="D32" s="841"/>
      <c r="E32" s="842"/>
      <c r="F32" s="842"/>
      <c r="G32" s="842"/>
      <c r="H32" s="842"/>
      <c r="I32" s="842"/>
      <c r="J32" s="843"/>
      <c r="K32" s="227">
        <f t="shared" si="204"/>
        <v>0</v>
      </c>
      <c r="L32" s="227">
        <f t="shared" si="0"/>
        <v>0</v>
      </c>
      <c r="M32" s="844"/>
      <c r="N32" s="844"/>
      <c r="O32" s="844"/>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839"/>
      <c r="C33" s="840"/>
      <c r="D33" s="841"/>
      <c r="E33" s="842"/>
      <c r="F33" s="842"/>
      <c r="G33" s="842"/>
      <c r="H33" s="842"/>
      <c r="I33" s="842"/>
      <c r="J33" s="843"/>
      <c r="K33" s="227">
        <f t="shared" si="204"/>
        <v>0</v>
      </c>
      <c r="L33" s="227">
        <f t="shared" si="0"/>
        <v>0</v>
      </c>
      <c r="M33" s="844"/>
      <c r="N33" s="844"/>
      <c r="O33" s="844"/>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839"/>
      <c r="C34" s="840"/>
      <c r="D34" s="841"/>
      <c r="E34" s="842"/>
      <c r="F34" s="842"/>
      <c r="G34" s="842"/>
      <c r="H34" s="842"/>
      <c r="I34" s="842"/>
      <c r="J34" s="843"/>
      <c r="K34" s="227">
        <f t="shared" si="204"/>
        <v>0</v>
      </c>
      <c r="L34" s="227">
        <f t="shared" si="0"/>
        <v>0</v>
      </c>
      <c r="M34" s="844"/>
      <c r="N34" s="844"/>
      <c r="O34" s="844"/>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839"/>
      <c r="C35" s="840"/>
      <c r="D35" s="841"/>
      <c r="E35" s="842"/>
      <c r="F35" s="842"/>
      <c r="G35" s="842"/>
      <c r="H35" s="842"/>
      <c r="I35" s="842"/>
      <c r="J35" s="843"/>
      <c r="K35" s="227">
        <f t="shared" si="204"/>
        <v>0</v>
      </c>
      <c r="L35" s="227">
        <f t="shared" si="0"/>
        <v>0</v>
      </c>
      <c r="M35" s="844"/>
      <c r="N35" s="844"/>
      <c r="O35" s="844"/>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839"/>
      <c r="C36" s="840"/>
      <c r="D36" s="841"/>
      <c r="E36" s="842"/>
      <c r="F36" s="842"/>
      <c r="G36" s="842"/>
      <c r="H36" s="842"/>
      <c r="I36" s="842"/>
      <c r="J36" s="843"/>
      <c r="K36" s="227">
        <f t="shared" si="204"/>
        <v>0</v>
      </c>
      <c r="L36" s="227">
        <f t="shared" si="0"/>
        <v>0</v>
      </c>
      <c r="M36" s="844"/>
      <c r="N36" s="844"/>
      <c r="O36" s="844"/>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839"/>
      <c r="C37" s="840"/>
      <c r="D37" s="841"/>
      <c r="E37" s="842"/>
      <c r="F37" s="842"/>
      <c r="G37" s="842"/>
      <c r="H37" s="842"/>
      <c r="I37" s="842"/>
      <c r="J37" s="843"/>
      <c r="K37" s="227">
        <f t="shared" si="204"/>
        <v>0</v>
      </c>
      <c r="L37" s="227">
        <f t="shared" si="0"/>
        <v>0</v>
      </c>
      <c r="M37" s="844"/>
      <c r="N37" s="844"/>
      <c r="O37" s="844"/>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839"/>
      <c r="C38" s="840"/>
      <c r="D38" s="841"/>
      <c r="E38" s="842"/>
      <c r="F38" s="842"/>
      <c r="G38" s="842"/>
      <c r="H38" s="842"/>
      <c r="I38" s="842"/>
      <c r="J38" s="843"/>
      <c r="K38" s="227">
        <f>MAX(0,H38-I38)</f>
        <v>0</v>
      </c>
      <c r="L38" s="227">
        <f t="shared" si="0"/>
        <v>0</v>
      </c>
      <c r="M38" s="844"/>
      <c r="N38" s="844"/>
      <c r="O38" s="844"/>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839"/>
      <c r="C39" s="840"/>
      <c r="D39" s="841"/>
      <c r="E39" s="842"/>
      <c r="F39" s="842"/>
      <c r="G39" s="842"/>
      <c r="H39" s="842"/>
      <c r="I39" s="842"/>
      <c r="J39" s="843"/>
      <c r="K39" s="227">
        <f t="shared" ref="K39:K46" si="205">MAX(0,H39-I39)</f>
        <v>0</v>
      </c>
      <c r="L39" s="227">
        <f t="shared" si="0"/>
        <v>0</v>
      </c>
      <c r="M39" s="844"/>
      <c r="N39" s="844"/>
      <c r="O39" s="844"/>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839"/>
      <c r="C40" s="840"/>
      <c r="D40" s="841"/>
      <c r="E40" s="842"/>
      <c r="F40" s="842"/>
      <c r="G40" s="842"/>
      <c r="H40" s="842"/>
      <c r="I40" s="842"/>
      <c r="J40" s="843"/>
      <c r="K40" s="227">
        <f t="shared" si="205"/>
        <v>0</v>
      </c>
      <c r="L40" s="227">
        <f t="shared" si="0"/>
        <v>0</v>
      </c>
      <c r="M40" s="844"/>
      <c r="N40" s="844"/>
      <c r="O40" s="844"/>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839"/>
      <c r="C41" s="840"/>
      <c r="D41" s="841"/>
      <c r="E41" s="842"/>
      <c r="F41" s="842"/>
      <c r="G41" s="842"/>
      <c r="H41" s="842"/>
      <c r="I41" s="842"/>
      <c r="J41" s="843"/>
      <c r="K41" s="227">
        <f t="shared" si="205"/>
        <v>0</v>
      </c>
      <c r="L41" s="227">
        <f t="shared" si="0"/>
        <v>0</v>
      </c>
      <c r="M41" s="844"/>
      <c r="N41" s="844"/>
      <c r="O41" s="844"/>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839"/>
      <c r="C42" s="840"/>
      <c r="D42" s="841"/>
      <c r="E42" s="842"/>
      <c r="F42" s="842"/>
      <c r="G42" s="842"/>
      <c r="H42" s="842"/>
      <c r="I42" s="842"/>
      <c r="J42" s="843"/>
      <c r="K42" s="227">
        <f t="shared" si="205"/>
        <v>0</v>
      </c>
      <c r="L42" s="227">
        <f t="shared" si="0"/>
        <v>0</v>
      </c>
      <c r="M42" s="844"/>
      <c r="N42" s="844"/>
      <c r="O42" s="844"/>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839"/>
      <c r="C43" s="840"/>
      <c r="D43" s="841"/>
      <c r="E43" s="842"/>
      <c r="F43" s="842"/>
      <c r="G43" s="842"/>
      <c r="H43" s="842"/>
      <c r="I43" s="842"/>
      <c r="J43" s="843"/>
      <c r="K43" s="227">
        <f t="shared" si="205"/>
        <v>0</v>
      </c>
      <c r="L43" s="227">
        <f t="shared" si="0"/>
        <v>0</v>
      </c>
      <c r="M43" s="844"/>
      <c r="N43" s="844"/>
      <c r="O43" s="844"/>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839"/>
      <c r="C44" s="840"/>
      <c r="D44" s="841"/>
      <c r="E44" s="842"/>
      <c r="F44" s="842"/>
      <c r="G44" s="842"/>
      <c r="H44" s="842"/>
      <c r="I44" s="842"/>
      <c r="J44" s="843"/>
      <c r="K44" s="227">
        <f t="shared" si="205"/>
        <v>0</v>
      </c>
      <c r="L44" s="227">
        <f t="shared" si="0"/>
        <v>0</v>
      </c>
      <c r="M44" s="844"/>
      <c r="N44" s="844"/>
      <c r="O44" s="844"/>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839"/>
      <c r="C45" s="840"/>
      <c r="D45" s="841"/>
      <c r="E45" s="842"/>
      <c r="F45" s="842"/>
      <c r="G45" s="842"/>
      <c r="H45" s="842"/>
      <c r="I45" s="842"/>
      <c r="J45" s="843"/>
      <c r="K45" s="227">
        <f t="shared" si="205"/>
        <v>0</v>
      </c>
      <c r="L45" s="227">
        <f t="shared" si="0"/>
        <v>0</v>
      </c>
      <c r="M45" s="844"/>
      <c r="N45" s="844"/>
      <c r="O45" s="844"/>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839"/>
      <c r="C46" s="840"/>
      <c r="D46" s="841"/>
      <c r="E46" s="842"/>
      <c r="F46" s="842"/>
      <c r="G46" s="842"/>
      <c r="H46" s="842"/>
      <c r="I46" s="842"/>
      <c r="J46" s="843"/>
      <c r="K46" s="227">
        <f t="shared" si="205"/>
        <v>0</v>
      </c>
      <c r="L46" s="227">
        <f t="shared" si="0"/>
        <v>0</v>
      </c>
      <c r="M46" s="844"/>
      <c r="N46" s="844"/>
      <c r="O46" s="844"/>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845"/>
      <c r="C47" s="846"/>
      <c r="D47" s="847"/>
      <c r="E47" s="848"/>
      <c r="F47" s="848"/>
      <c r="G47" s="848"/>
      <c r="H47" s="848"/>
      <c r="I47" s="848"/>
      <c r="J47" s="849"/>
      <c r="K47" s="228">
        <f t="shared" si="204"/>
        <v>0</v>
      </c>
      <c r="L47" s="228">
        <f t="shared" si="0"/>
        <v>0</v>
      </c>
      <c r="M47" s="850"/>
      <c r="N47" s="850"/>
      <c r="O47" s="850"/>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60</v>
      </c>
      <c r="F48" s="171">
        <f>(E10*F10+E11*F11+E12*F12+E13*F13+E14*F14+E15*F15+E16*F16+E17*F17+E18*F18+E19*F19+E20*F20+E21*F21+E22*F22+E23*F23+E24*F24+E25*F25+E26*F26+E27*F27+E28*F28+E29*F29+E30*F30+E31*F31+E32*F32+E33*F33+E34*F34+E35*F35+E36*F36+E37*F37+E38*F38+E39*F39+E40*F40+E41*F41+E42*F42+E43*F43+E44*F44+E45*F45+E46*F46+E47*F47)</f>
        <v>39000</v>
      </c>
      <c r="G48" s="162"/>
      <c r="H48" s="163"/>
      <c r="I48" s="163"/>
      <c r="J48" s="163"/>
      <c r="K48" s="15" t="s">
        <v>2002</v>
      </c>
      <c r="L48" s="169">
        <f>SUM(L10:L47)</f>
        <v>36948</v>
      </c>
      <c r="M48" s="2"/>
      <c r="N48" s="42"/>
      <c r="O48" s="2"/>
      <c r="P48" s="122"/>
      <c r="Q48" s="122"/>
      <c r="R48" s="738"/>
      <c r="S48" s="446"/>
      <c r="T48" s="446">
        <f t="shared" ref="T48:CI48" si="206">SUM(T10:T47)</f>
        <v>0</v>
      </c>
      <c r="U48" s="446">
        <f t="shared" si="206"/>
        <v>48</v>
      </c>
      <c r="V48" s="446">
        <f t="shared" si="206"/>
        <v>0</v>
      </c>
      <c r="W48" s="446">
        <f t="shared" si="206"/>
        <v>0</v>
      </c>
      <c r="X48" s="446">
        <f t="shared" si="206"/>
        <v>0</v>
      </c>
      <c r="Y48" s="446">
        <f t="shared" si="206"/>
        <v>0</v>
      </c>
      <c r="Z48" s="446">
        <f t="shared" si="206"/>
        <v>12</v>
      </c>
      <c r="AA48" s="446">
        <f t="shared" si="206"/>
        <v>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31200</v>
      </c>
      <c r="BY48" s="446">
        <f t="shared" si="206"/>
        <v>0</v>
      </c>
      <c r="BZ48" s="446">
        <f t="shared" si="206"/>
        <v>0</v>
      </c>
      <c r="CA48" s="446">
        <f t="shared" si="206"/>
        <v>0</v>
      </c>
      <c r="CB48" s="446">
        <f t="shared" si="206"/>
        <v>0</v>
      </c>
      <c r="CC48" s="446">
        <f t="shared" si="206"/>
        <v>7800</v>
      </c>
      <c r="CD48" s="446">
        <f t="shared" si="206"/>
        <v>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60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60</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60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443376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1338" t="s">
        <v>3649</v>
      </c>
      <c r="B51" s="947"/>
      <c r="C51" s="947"/>
      <c r="D51" s="947"/>
      <c r="E51" s="947"/>
      <c r="F51" s="947"/>
      <c r="G51" s="947"/>
      <c r="H51" s="947"/>
      <c r="I51" s="947"/>
      <c r="J51" s="947"/>
      <c r="K51" s="947"/>
      <c r="L51" s="947"/>
      <c r="M51" s="947"/>
      <c r="N51" s="947"/>
      <c r="O51" s="947"/>
      <c r="P51" s="947"/>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947"/>
      <c r="B52" s="947"/>
      <c r="C52" s="947"/>
      <c r="D52" s="947"/>
      <c r="E52" s="947"/>
      <c r="F52" s="947"/>
      <c r="G52" s="947"/>
      <c r="H52" s="947"/>
      <c r="I52" s="947"/>
      <c r="J52" s="947"/>
      <c r="K52" s="947"/>
      <c r="L52" s="947"/>
      <c r="M52" s="947"/>
      <c r="N52" s="947"/>
      <c r="O52" s="947"/>
      <c r="P52" s="947"/>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1348"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1349"/>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1349"/>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48</v>
      </c>
      <c r="J57" s="381">
        <f>V48</f>
        <v>0</v>
      </c>
      <c r="K57" s="381">
        <f>W48</f>
        <v>0</v>
      </c>
      <c r="L57" s="381">
        <f>X48</f>
        <v>0</v>
      </c>
      <c r="M57" s="381">
        <f t="shared" ref="M57:M63" si="211">SUM(H57:L57)</f>
        <v>48</v>
      </c>
      <c r="N57" s="1352" t="s">
        <v>1483</v>
      </c>
      <c r="O57" s="1353"/>
      <c r="P57" s="739"/>
      <c r="Q57" s="680">
        <f t="shared" ref="Q57:Q63" si="212">ABS(M57-AD57)</f>
        <v>0</v>
      </c>
      <c r="S57" s="207"/>
      <c r="T57" s="447" t="s">
        <v>1778</v>
      </c>
      <c r="U57" s="447"/>
      <c r="V57" s="447"/>
      <c r="W57" s="447"/>
      <c r="X57" s="448" t="s">
        <v>1791</v>
      </c>
      <c r="Y57" s="449">
        <f>T48</f>
        <v>0</v>
      </c>
      <c r="Z57" s="449">
        <f>U48</f>
        <v>48</v>
      </c>
      <c r="AA57" s="449">
        <f>V48</f>
        <v>0</v>
      </c>
      <c r="AB57" s="449">
        <f>W48</f>
        <v>0</v>
      </c>
      <c r="AC57" s="449">
        <f>X48</f>
        <v>0</v>
      </c>
      <c r="AD57" s="449">
        <f t="shared" ref="AD57:AD63" si="213">SUM(Y57:AC57)</f>
        <v>48</v>
      </c>
      <c r="AE57" s="448" t="s">
        <v>1555</v>
      </c>
      <c r="AF57" s="122"/>
      <c r="GU57" s="172"/>
      <c r="HJ57" s="113"/>
    </row>
    <row r="58" spans="1:221" ht="15" customHeight="1">
      <c r="A58" s="1378" t="s">
        <v>652</v>
      </c>
      <c r="B58" s="1378"/>
      <c r="C58" s="5"/>
      <c r="D58" s="2"/>
      <c r="E58" s="2"/>
      <c r="F58" s="2"/>
      <c r="G58" s="46" t="s">
        <v>133</v>
      </c>
      <c r="H58" s="382">
        <f>Y48</f>
        <v>0</v>
      </c>
      <c r="I58" s="382">
        <f>Z48</f>
        <v>12</v>
      </c>
      <c r="J58" s="382">
        <f>AA48</f>
        <v>0</v>
      </c>
      <c r="K58" s="382">
        <f>AB48</f>
        <v>0</v>
      </c>
      <c r="L58" s="382">
        <f>AC48</f>
        <v>0</v>
      </c>
      <c r="M58" s="382">
        <f t="shared" si="211"/>
        <v>12</v>
      </c>
      <c r="N58" s="1352"/>
      <c r="O58" s="1353"/>
      <c r="P58" s="739"/>
      <c r="Q58" s="680">
        <f t="shared" si="212"/>
        <v>0</v>
      </c>
      <c r="S58" s="207"/>
      <c r="T58" s="231"/>
      <c r="U58" s="447"/>
      <c r="V58" s="447"/>
      <c r="W58" s="447"/>
      <c r="X58" s="448" t="s">
        <v>133</v>
      </c>
      <c r="Y58" s="449">
        <f>Y48</f>
        <v>0</v>
      </c>
      <c r="Z58" s="449">
        <f>Z48</f>
        <v>12</v>
      </c>
      <c r="AA58" s="449">
        <f>AA48</f>
        <v>0</v>
      </c>
      <c r="AB58" s="449">
        <f>AB48</f>
        <v>0</v>
      </c>
      <c r="AC58" s="449">
        <f>AC48</f>
        <v>0</v>
      </c>
      <c r="AD58" s="449">
        <f t="shared" si="213"/>
        <v>12</v>
      </c>
      <c r="AE58" s="448"/>
      <c r="AF58" s="122"/>
      <c r="GU58" s="172"/>
      <c r="HJ58" s="113"/>
    </row>
    <row r="59" spans="1:221" ht="15" customHeight="1">
      <c r="A59" s="1378"/>
      <c r="B59" s="1378"/>
      <c r="C59" s="5"/>
      <c r="D59" s="2"/>
      <c r="E59" s="2"/>
      <c r="F59" s="2"/>
      <c r="G59" s="46" t="s">
        <v>832</v>
      </c>
      <c r="H59" s="383">
        <f>SUM(H57:H58)</f>
        <v>0</v>
      </c>
      <c r="I59" s="383">
        <f>SUM(I57:I58)</f>
        <v>60</v>
      </c>
      <c r="J59" s="383">
        <f>SUM(J57:J58)</f>
        <v>0</v>
      </c>
      <c r="K59" s="383">
        <f>SUM(K57:K58)</f>
        <v>0</v>
      </c>
      <c r="L59" s="383">
        <f>SUM(L57:L58)</f>
        <v>0</v>
      </c>
      <c r="M59" s="383">
        <f t="shared" si="211"/>
        <v>60</v>
      </c>
      <c r="N59" s="386"/>
      <c r="O59" s="113"/>
      <c r="Q59" s="680">
        <f t="shared" si="212"/>
        <v>0</v>
      </c>
      <c r="S59" s="207"/>
      <c r="T59" s="231"/>
      <c r="U59" s="447"/>
      <c r="V59" s="447"/>
      <c r="W59" s="447"/>
      <c r="X59" s="448" t="s">
        <v>832</v>
      </c>
      <c r="Y59" s="449">
        <f>SUM(Y57:Y58)</f>
        <v>0</v>
      </c>
      <c r="Z59" s="449">
        <f>SUM(Z57:Z58)</f>
        <v>60</v>
      </c>
      <c r="AA59" s="449">
        <f>SUM(AA57:AA58)</f>
        <v>0</v>
      </c>
      <c r="AB59" s="449">
        <f>SUM(AB57:AB58)</f>
        <v>0</v>
      </c>
      <c r="AC59" s="449">
        <f>SUM(AC57:AC58)</f>
        <v>0</v>
      </c>
      <c r="AD59" s="449">
        <f t="shared" si="213"/>
        <v>60</v>
      </c>
      <c r="AE59" s="448"/>
      <c r="AF59" s="122"/>
      <c r="GU59" s="172"/>
      <c r="HJ59" s="113"/>
    </row>
    <row r="60" spans="1:221" ht="15" customHeight="1">
      <c r="A60" s="1378"/>
      <c r="B60" s="1378"/>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78"/>
      <c r="B61" s="1378"/>
      <c r="C61" s="2" t="s">
        <v>1779</v>
      </c>
      <c r="D61" s="2"/>
      <c r="E61" s="2"/>
      <c r="F61" s="2"/>
      <c r="G61" s="46"/>
      <c r="H61" s="383">
        <f>SUM(H59:H60)</f>
        <v>0</v>
      </c>
      <c r="I61" s="383">
        <f>SUM(I59:I60)</f>
        <v>60</v>
      </c>
      <c r="J61" s="383">
        <f>SUM(J59:J60)</f>
        <v>0</v>
      </c>
      <c r="K61" s="383">
        <f>SUM(K59:K60)</f>
        <v>0</v>
      </c>
      <c r="L61" s="383">
        <f>SUM(L59:L60)</f>
        <v>0</v>
      </c>
      <c r="M61" s="383">
        <f t="shared" si="211"/>
        <v>60</v>
      </c>
      <c r="N61" s="68"/>
      <c r="O61" s="113"/>
      <c r="Q61" s="680">
        <f t="shared" si="212"/>
        <v>0</v>
      </c>
      <c r="S61" s="207"/>
      <c r="T61" s="447" t="s">
        <v>1779</v>
      </c>
      <c r="U61" s="447"/>
      <c r="V61" s="447"/>
      <c r="W61" s="447"/>
      <c r="X61" s="448"/>
      <c r="Y61" s="449">
        <f>SUM(Y59:Y60)</f>
        <v>0</v>
      </c>
      <c r="Z61" s="449">
        <f>SUM(Z59:Z60)</f>
        <v>60</v>
      </c>
      <c r="AA61" s="449">
        <f>SUM(AA59:AA60)</f>
        <v>0</v>
      </c>
      <c r="AB61" s="449">
        <f>SUM(AB59:AB60)</f>
        <v>0</v>
      </c>
      <c r="AC61" s="449">
        <f>SUM(AC59:AC60)</f>
        <v>0</v>
      </c>
      <c r="AD61" s="449">
        <f t="shared" si="213"/>
        <v>60</v>
      </c>
      <c r="AE61" s="450"/>
      <c r="AF61" s="122"/>
      <c r="GU61" s="172"/>
      <c r="HJ61" s="113"/>
    </row>
    <row r="62" spans="1:221" ht="15" customHeight="1">
      <c r="A62" s="1378"/>
      <c r="B62" s="1378"/>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1378"/>
      <c r="B63" s="1378"/>
      <c r="C63" s="2" t="s">
        <v>832</v>
      </c>
      <c r="D63" s="2"/>
      <c r="E63" s="2"/>
      <c r="F63" s="2"/>
      <c r="G63" s="46"/>
      <c r="H63" s="383">
        <f>SUM(H61:H62)</f>
        <v>0</v>
      </c>
      <c r="I63" s="383">
        <f>SUM(I61:I62)</f>
        <v>60</v>
      </c>
      <c r="J63" s="383">
        <f>SUM(J61:J62)</f>
        <v>0</v>
      </c>
      <c r="K63" s="383">
        <f>SUM(K61:K62)</f>
        <v>0</v>
      </c>
      <c r="L63" s="383">
        <f>SUM(L61:L62)</f>
        <v>0</v>
      </c>
      <c r="M63" s="383">
        <f t="shared" si="211"/>
        <v>60</v>
      </c>
      <c r="O63" s="113"/>
      <c r="Q63" s="680">
        <f t="shared" si="212"/>
        <v>0</v>
      </c>
      <c r="S63" s="207"/>
      <c r="T63" s="447" t="s">
        <v>832</v>
      </c>
      <c r="U63" s="447"/>
      <c r="V63" s="447"/>
      <c r="W63" s="447"/>
      <c r="X63" s="448"/>
      <c r="Y63" s="449">
        <f>SUM(Y61:Y62)</f>
        <v>0</v>
      </c>
      <c r="Z63" s="449">
        <f>SUM(Z61:Z62)</f>
        <v>60</v>
      </c>
      <c r="AA63" s="449">
        <f>SUM(AA61:AA62)</f>
        <v>0</v>
      </c>
      <c r="AB63" s="449">
        <f>SUM(AB61:AB62)</f>
        <v>0</v>
      </c>
      <c r="AC63" s="449">
        <f>SUM(AC61:AC62)</f>
        <v>0</v>
      </c>
      <c r="AD63" s="449">
        <f t="shared" si="213"/>
        <v>60</v>
      </c>
      <c r="AE63" s="207"/>
      <c r="AF63" s="122"/>
      <c r="GU63" s="172"/>
      <c r="HJ63" s="113"/>
    </row>
    <row r="64" spans="1:221" ht="14.45" customHeight="1">
      <c r="A64" s="1378"/>
      <c r="B64" s="1378"/>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78"/>
      <c r="B65" s="1378"/>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1378"/>
      <c r="B66" s="1378"/>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1378"/>
      <c r="B67" s="1378"/>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1378"/>
      <c r="B68" s="1378"/>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78"/>
      <c r="B69" s="1378"/>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1378"/>
      <c r="B70" s="1378"/>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1378"/>
      <c r="B71" s="1378"/>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1378"/>
      <c r="B72" s="1378"/>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1378"/>
      <c r="B73" s="1378"/>
      <c r="C73" s="2"/>
      <c r="D73" s="2"/>
      <c r="E73" s="140" t="s">
        <v>3436</v>
      </c>
      <c r="F73" s="2"/>
      <c r="G73" s="46" t="s">
        <v>2154</v>
      </c>
      <c r="H73" s="381">
        <f>DA48</f>
        <v>0</v>
      </c>
      <c r="I73" s="381">
        <f>DB48</f>
        <v>60</v>
      </c>
      <c r="J73" s="381">
        <f>DC48</f>
        <v>0</v>
      </c>
      <c r="K73" s="381">
        <f>DD48</f>
        <v>0</v>
      </c>
      <c r="L73" s="381">
        <f>DE48</f>
        <v>0</v>
      </c>
      <c r="M73" s="381">
        <f t="shared" ref="M73:M83" si="214">SUM(H73:L73)</f>
        <v>60</v>
      </c>
      <c r="N73" s="31"/>
      <c r="O73" s="113"/>
      <c r="Q73" s="680">
        <f t="shared" ref="Q73:Q81" si="215">ABS(M73-AD73)</f>
        <v>0</v>
      </c>
      <c r="S73" s="207"/>
      <c r="T73" s="447"/>
      <c r="U73" s="447"/>
      <c r="V73" s="451" t="s">
        <v>3436</v>
      </c>
      <c r="W73" s="447"/>
      <c r="X73" s="448" t="s">
        <v>2154</v>
      </c>
      <c r="Y73" s="449">
        <f>DA48</f>
        <v>0</v>
      </c>
      <c r="Z73" s="449">
        <f>DB48</f>
        <v>60</v>
      </c>
      <c r="AA73" s="449">
        <f>DC48</f>
        <v>0</v>
      </c>
      <c r="AB73" s="449">
        <f>DD48</f>
        <v>0</v>
      </c>
      <c r="AC73" s="449">
        <f>DE48</f>
        <v>0</v>
      </c>
      <c r="AD73" s="449">
        <f t="shared" ref="AD73:AD81" si="216">SUM(Y73:AC73)</f>
        <v>60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78"/>
      <c r="B74" s="1378"/>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1378"/>
      <c r="B75" s="1378"/>
      <c r="C75" s="5"/>
      <c r="D75" s="2"/>
      <c r="E75" s="147"/>
      <c r="F75" s="2"/>
      <c r="G75" s="46" t="s">
        <v>34</v>
      </c>
      <c r="H75" s="383">
        <f>SUM(H73:H74)+DK48</f>
        <v>0</v>
      </c>
      <c r="I75" s="383">
        <f>SUM(I73:I74)+DL48</f>
        <v>60</v>
      </c>
      <c r="J75" s="383">
        <f>SUM(J73:J74)+DM48</f>
        <v>0</v>
      </c>
      <c r="K75" s="383">
        <f>SUM(K73:K74)+DN48</f>
        <v>0</v>
      </c>
      <c r="L75" s="383">
        <f>SUM(L73:L74)+DO48</f>
        <v>0</v>
      </c>
      <c r="M75" s="383">
        <f t="shared" si="214"/>
        <v>60</v>
      </c>
      <c r="N75" s="65"/>
      <c r="O75" s="113"/>
      <c r="Q75" s="680">
        <f t="shared" si="215"/>
        <v>0</v>
      </c>
      <c r="S75" s="207"/>
      <c r="T75" s="231"/>
      <c r="U75" s="447"/>
      <c r="V75" s="451"/>
      <c r="W75" s="447"/>
      <c r="X75" s="681" t="s">
        <v>34</v>
      </c>
      <c r="Y75" s="449">
        <f>SUM(Y73:Y74)+DK48</f>
        <v>0</v>
      </c>
      <c r="Z75" s="449">
        <f>SUM(Z73:Z74)+DL48</f>
        <v>60</v>
      </c>
      <c r="AA75" s="449">
        <f>SUM(AA73:AA74)+DM48</f>
        <v>0</v>
      </c>
      <c r="AB75" s="449">
        <f>SUM(AB73:AB74)+DN48</f>
        <v>0</v>
      </c>
      <c r="AC75" s="449">
        <f>SUM(AC73:AC74)+DO48</f>
        <v>0</v>
      </c>
      <c r="AD75" s="449">
        <f t="shared" si="216"/>
        <v>60</v>
      </c>
      <c r="AE75" s="448"/>
      <c r="AF75" s="122"/>
      <c r="GU75" s="172"/>
      <c r="HJ75" s="113"/>
    </row>
    <row r="76" spans="1:218" ht="15" customHeight="1">
      <c r="A76" s="1378"/>
      <c r="B76" s="1378"/>
      <c r="C76" s="2"/>
      <c r="D76" s="2"/>
      <c r="E76" s="140" t="s">
        <v>3238</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68" t="s">
        <v>2131</v>
      </c>
      <c r="F79" s="1368"/>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8"/>
      <c r="F80" s="1368"/>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851"/>
      <c r="I82" s="851"/>
      <c r="J82" s="851"/>
      <c r="K82" s="851"/>
      <c r="L82" s="85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852"/>
      <c r="I83" s="852"/>
      <c r="J83" s="852"/>
      <c r="K83" s="852"/>
      <c r="L83" s="85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60</v>
      </c>
      <c r="J85" s="381">
        <f>EV48</f>
        <v>0</v>
      </c>
      <c r="K85" s="381">
        <f>EW48</f>
        <v>0</v>
      </c>
      <c r="L85" s="381">
        <f>EX48</f>
        <v>0</v>
      </c>
      <c r="M85" s="381">
        <f>SUM(H85:L85)</f>
        <v>60</v>
      </c>
      <c r="N85" s="31"/>
      <c r="O85" s="113"/>
      <c r="Q85" s="680">
        <f>ABS(M85-AD85)</f>
        <v>0</v>
      </c>
      <c r="S85" s="207"/>
      <c r="T85" s="122"/>
      <c r="U85" s="122"/>
      <c r="V85" s="451" t="s">
        <v>46</v>
      </c>
      <c r="W85" s="122"/>
      <c r="X85" s="448"/>
      <c r="Y85" s="449">
        <f>ET48</f>
        <v>0</v>
      </c>
      <c r="Z85" s="449">
        <f>EU48</f>
        <v>60</v>
      </c>
      <c r="AA85" s="449">
        <f>EV48</f>
        <v>0</v>
      </c>
      <c r="AB85" s="449">
        <f>EW48</f>
        <v>0</v>
      </c>
      <c r="AC85" s="449">
        <f>EX48</f>
        <v>0</v>
      </c>
      <c r="AD85" s="449">
        <f>SUM(Y85:AC85)</f>
        <v>60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1791</v>
      </c>
      <c r="H92" s="223">
        <f>BW48</f>
        <v>0</v>
      </c>
      <c r="I92" s="223">
        <f>BX48</f>
        <v>31200</v>
      </c>
      <c r="J92" s="223">
        <f>BY48</f>
        <v>0</v>
      </c>
      <c r="K92" s="223">
        <f>BZ48</f>
        <v>0</v>
      </c>
      <c r="L92" s="223">
        <f>CA48</f>
        <v>0</v>
      </c>
      <c r="M92" s="223">
        <f t="shared" ref="M92:M98" si="217">SUM(H92:L92)</f>
        <v>31200</v>
      </c>
      <c r="O92" s="113"/>
      <c r="Q92" s="680">
        <f t="shared" ref="Q92:Q98" si="218">ABS(M92-AD92)</f>
        <v>0</v>
      </c>
      <c r="S92" s="207"/>
      <c r="T92" s="447" t="s">
        <v>3237</v>
      </c>
      <c r="U92" s="447"/>
      <c r="V92" s="447"/>
      <c r="W92" s="447"/>
      <c r="X92" s="448" t="s">
        <v>1791</v>
      </c>
      <c r="Y92" s="449">
        <f>BW48</f>
        <v>0</v>
      </c>
      <c r="Z92" s="449">
        <f>BX48</f>
        <v>31200</v>
      </c>
      <c r="AA92" s="449">
        <f>BY48</f>
        <v>0</v>
      </c>
      <c r="AB92" s="449">
        <f>BZ48</f>
        <v>0</v>
      </c>
      <c r="AC92" s="449">
        <f>CA48</f>
        <v>0</v>
      </c>
      <c r="AD92" s="449">
        <f t="shared" ref="AD92:AD98" si="219">SUM(Y92:AC92)</f>
        <v>31200</v>
      </c>
      <c r="AE92" s="207"/>
      <c r="AF92" s="122"/>
      <c r="GU92" s="172"/>
      <c r="HJ92" s="113"/>
    </row>
    <row r="93" spans="1:218" ht="15" customHeight="1">
      <c r="C93" s="5"/>
      <c r="D93" s="2"/>
      <c r="E93" s="2"/>
      <c r="F93" s="2"/>
      <c r="G93" s="46" t="s">
        <v>133</v>
      </c>
      <c r="H93" s="225">
        <f>CB48</f>
        <v>0</v>
      </c>
      <c r="I93" s="225">
        <f>CC48</f>
        <v>7800</v>
      </c>
      <c r="J93" s="225">
        <f>CD48</f>
        <v>0</v>
      </c>
      <c r="K93" s="225">
        <f>CE48</f>
        <v>0</v>
      </c>
      <c r="L93" s="225">
        <f>CF48</f>
        <v>0</v>
      </c>
      <c r="M93" s="225">
        <f t="shared" si="217"/>
        <v>7800</v>
      </c>
      <c r="N93" s="6"/>
      <c r="O93" s="113"/>
      <c r="Q93" s="680">
        <f t="shared" si="218"/>
        <v>0</v>
      </c>
      <c r="S93" s="207"/>
      <c r="T93" s="231"/>
      <c r="U93" s="447"/>
      <c r="V93" s="447"/>
      <c r="W93" s="447"/>
      <c r="X93" s="448" t="s">
        <v>133</v>
      </c>
      <c r="Y93" s="449">
        <f>CB48</f>
        <v>0</v>
      </c>
      <c r="Z93" s="449">
        <f>CC48</f>
        <v>7800</v>
      </c>
      <c r="AA93" s="449">
        <f>CD48</f>
        <v>0</v>
      </c>
      <c r="AB93" s="449">
        <f>CE48</f>
        <v>0</v>
      </c>
      <c r="AC93" s="449">
        <f>CF48</f>
        <v>0</v>
      </c>
      <c r="AD93" s="449">
        <f t="shared" si="219"/>
        <v>7800</v>
      </c>
      <c r="AE93" s="447"/>
      <c r="AF93" s="122"/>
      <c r="GU93" s="172"/>
      <c r="HJ93" s="113"/>
    </row>
    <row r="94" spans="1:218" ht="15" customHeight="1">
      <c r="C94" s="5"/>
      <c r="D94" s="2"/>
      <c r="E94" s="2"/>
      <c r="F94" s="2"/>
      <c r="G94" s="46" t="s">
        <v>832</v>
      </c>
      <c r="H94" s="222">
        <f>SUM(H92:H93)</f>
        <v>0</v>
      </c>
      <c r="I94" s="222">
        <f>SUM(I92:I93)</f>
        <v>39000</v>
      </c>
      <c r="J94" s="222">
        <f>SUM(J92:J93)</f>
        <v>0</v>
      </c>
      <c r="K94" s="222">
        <f>SUM(K92:K93)</f>
        <v>0</v>
      </c>
      <c r="L94" s="222">
        <f>SUM(L92:L93)</f>
        <v>0</v>
      </c>
      <c r="M94" s="222">
        <f t="shared" si="217"/>
        <v>39000</v>
      </c>
      <c r="N94" s="6"/>
      <c r="O94" s="113"/>
      <c r="Q94" s="680">
        <f t="shared" si="218"/>
        <v>0</v>
      </c>
      <c r="S94" s="207"/>
      <c r="T94" s="231"/>
      <c r="U94" s="447"/>
      <c r="V94" s="447"/>
      <c r="W94" s="447"/>
      <c r="X94" s="448" t="s">
        <v>832</v>
      </c>
      <c r="Y94" s="449">
        <f>SUM(Y92:Y93)</f>
        <v>0</v>
      </c>
      <c r="Z94" s="449">
        <f>SUM(Z92:Z93)</f>
        <v>39000</v>
      </c>
      <c r="AA94" s="449">
        <f>SUM(AA92:AA93)</f>
        <v>0</v>
      </c>
      <c r="AB94" s="449">
        <f>SUM(AB92:AB93)</f>
        <v>0</v>
      </c>
      <c r="AC94" s="449">
        <f>SUM(AC92:AC93)</f>
        <v>0</v>
      </c>
      <c r="AD94" s="449">
        <f t="shared" si="219"/>
        <v>39000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39000</v>
      </c>
      <c r="J96" s="222">
        <f>SUM(J94:J95)</f>
        <v>0</v>
      </c>
      <c r="K96" s="222">
        <f>SUM(K94:K95)</f>
        <v>0</v>
      </c>
      <c r="L96" s="222">
        <f>SUM(L94:L95)</f>
        <v>0</v>
      </c>
      <c r="M96" s="222">
        <f t="shared" si="217"/>
        <v>39000</v>
      </c>
      <c r="O96" s="113"/>
      <c r="Q96" s="680">
        <f t="shared" si="218"/>
        <v>0</v>
      </c>
      <c r="S96" s="207"/>
      <c r="T96" s="447" t="s">
        <v>1779</v>
      </c>
      <c r="U96" s="447"/>
      <c r="V96" s="447"/>
      <c r="W96" s="447"/>
      <c r="X96" s="447"/>
      <c r="Y96" s="449">
        <f>SUM(Y94:Y95)</f>
        <v>0</v>
      </c>
      <c r="Z96" s="449">
        <f>SUM(Z94:Z95)</f>
        <v>39000</v>
      </c>
      <c r="AA96" s="449">
        <f>SUM(AA94:AA95)</f>
        <v>0</v>
      </c>
      <c r="AB96" s="449">
        <f>SUM(AB94:AB95)</f>
        <v>0</v>
      </c>
      <c r="AC96" s="449">
        <f>SUM(AC94:AC95)</f>
        <v>0</v>
      </c>
      <c r="AD96" s="449">
        <f t="shared" si="219"/>
        <v>39000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39000</v>
      </c>
      <c r="J98" s="222">
        <f>SUM(J96:J97)</f>
        <v>0</v>
      </c>
      <c r="K98" s="222">
        <f>SUM(K96:K97)</f>
        <v>0</v>
      </c>
      <c r="L98" s="222">
        <f>SUM(L96:L97)</f>
        <v>0</v>
      </c>
      <c r="M98" s="222">
        <f t="shared" si="217"/>
        <v>39000</v>
      </c>
      <c r="O98" s="113"/>
      <c r="Q98" s="680">
        <f t="shared" si="218"/>
        <v>0</v>
      </c>
      <c r="S98" s="207"/>
      <c r="T98" s="447" t="s">
        <v>832</v>
      </c>
      <c r="U98" s="447"/>
      <c r="V98" s="447"/>
      <c r="W98" s="447"/>
      <c r="X98" s="447"/>
      <c r="Y98" s="449">
        <f>SUM(Y96:Y97)</f>
        <v>0</v>
      </c>
      <c r="Z98" s="449">
        <f>SUM(Z96:Z97)</f>
        <v>39000</v>
      </c>
      <c r="AA98" s="449">
        <f>SUM(AA96:AA97)</f>
        <v>0</v>
      </c>
      <c r="AB98" s="449">
        <f>SUM(AB96:AB97)</f>
        <v>0</v>
      </c>
      <c r="AC98" s="449">
        <f>SUM(AC96:AC97)</f>
        <v>0</v>
      </c>
      <c r="AD98" s="449">
        <f t="shared" si="219"/>
        <v>39000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1350">
        <f>0.02*L49</f>
        <v>8867.52</v>
      </c>
      <c r="H102" s="1351"/>
      <c r="I102" s="145" t="s">
        <v>3753</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1633</v>
      </c>
      <c r="G107" s="853"/>
      <c r="H107" s="853"/>
      <c r="I107" s="853"/>
      <c r="J107" s="853"/>
      <c r="K107" s="854"/>
      <c r="L107" s="853"/>
      <c r="M107" s="853"/>
      <c r="N107" s="853"/>
      <c r="O107" s="853"/>
      <c r="P107" s="853"/>
    </row>
    <row r="108" spans="1:220" ht="15" customHeight="1">
      <c r="B108" s="9" t="s">
        <v>1230</v>
      </c>
      <c r="C108" s="1345"/>
      <c r="D108" s="1346"/>
      <c r="E108" s="1346"/>
      <c r="F108" s="1347"/>
      <c r="G108" s="855"/>
      <c r="H108" s="855"/>
      <c r="I108" s="855"/>
      <c r="J108" s="855"/>
      <c r="K108" s="856"/>
      <c r="L108" s="855"/>
      <c r="M108" s="855"/>
      <c r="N108" s="855"/>
      <c r="O108" s="855"/>
      <c r="P108" s="855"/>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853"/>
      <c r="H113" s="853"/>
      <c r="I113" s="853"/>
      <c r="J113" s="853"/>
      <c r="K113" s="854"/>
      <c r="L113" s="853"/>
      <c r="M113" s="853"/>
      <c r="N113" s="853"/>
      <c r="O113" s="853"/>
      <c r="P113" s="853"/>
    </row>
    <row r="114" spans="2:16" ht="15" customHeight="1">
      <c r="B114" s="9" t="s">
        <v>1230</v>
      </c>
      <c r="C114" s="1345"/>
      <c r="D114" s="1346"/>
      <c r="E114" s="1346"/>
      <c r="F114" s="1347"/>
      <c r="G114" s="855"/>
      <c r="H114" s="855"/>
      <c r="I114" s="855"/>
      <c r="J114" s="855"/>
      <c r="K114" s="856"/>
      <c r="L114" s="855"/>
      <c r="M114" s="855"/>
      <c r="N114" s="855"/>
      <c r="O114" s="855"/>
      <c r="P114" s="855"/>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1633</v>
      </c>
      <c r="G118" s="853"/>
      <c r="H118" s="853"/>
      <c r="I118" s="853"/>
      <c r="J118" s="853"/>
      <c r="K118" s="854"/>
      <c r="L118" s="853"/>
      <c r="M118" s="853"/>
      <c r="N118" s="853"/>
      <c r="O118" s="853"/>
      <c r="P118" s="853"/>
    </row>
    <row r="119" spans="2:16" ht="15" customHeight="1">
      <c r="B119" s="9" t="s">
        <v>1230</v>
      </c>
      <c r="C119" s="1345"/>
      <c r="D119" s="1346"/>
      <c r="E119" s="1346"/>
      <c r="F119" s="1347"/>
      <c r="G119" s="855"/>
      <c r="H119" s="855"/>
      <c r="I119" s="855"/>
      <c r="J119" s="855"/>
      <c r="K119" s="856"/>
      <c r="L119" s="855"/>
      <c r="M119" s="855"/>
      <c r="N119" s="855"/>
      <c r="O119" s="855"/>
      <c r="P119" s="855"/>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853"/>
      <c r="H124" s="853"/>
      <c r="I124" s="853"/>
      <c r="J124" s="853"/>
      <c r="K124" s="854"/>
      <c r="L124" s="853"/>
      <c r="M124" s="853"/>
      <c r="N124" s="853"/>
      <c r="O124" s="853"/>
      <c r="P124" s="853"/>
    </row>
    <row r="125" spans="2:16" ht="15" customHeight="1">
      <c r="B125" s="9" t="s">
        <v>1230</v>
      </c>
      <c r="C125" s="1345"/>
      <c r="D125" s="1346"/>
      <c r="E125" s="1346"/>
      <c r="F125" s="1347"/>
      <c r="G125" s="855"/>
      <c r="H125" s="855"/>
      <c r="I125" s="855"/>
      <c r="J125" s="855"/>
      <c r="K125" s="856"/>
      <c r="L125" s="855"/>
      <c r="M125" s="855"/>
      <c r="N125" s="855"/>
      <c r="O125" s="855"/>
      <c r="P125" s="855"/>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1633</v>
      </c>
      <c r="G129" s="853"/>
      <c r="H129" s="853"/>
      <c r="I129" s="853"/>
      <c r="J129" s="853"/>
      <c r="K129" s="854"/>
      <c r="L129" s="853"/>
      <c r="M129" s="853"/>
      <c r="N129" s="853"/>
      <c r="O129" s="853"/>
      <c r="P129" s="853"/>
    </row>
    <row r="130" spans="1:219" ht="15" customHeight="1">
      <c r="B130" s="9" t="s">
        <v>1230</v>
      </c>
      <c r="C130" s="1345"/>
      <c r="D130" s="1346"/>
      <c r="E130" s="1346"/>
      <c r="F130" s="1347"/>
      <c r="G130" s="855"/>
      <c r="H130" s="855"/>
      <c r="I130" s="855"/>
      <c r="J130" s="855"/>
      <c r="K130" s="856"/>
      <c r="L130" s="855"/>
      <c r="M130" s="855"/>
      <c r="N130" s="855"/>
      <c r="O130" s="855"/>
      <c r="P130" s="855"/>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853"/>
      <c r="H135" s="853"/>
      <c r="I135" s="853"/>
      <c r="J135" s="853"/>
      <c r="K135" s="854"/>
      <c r="L135" s="853"/>
      <c r="M135" s="853"/>
      <c r="N135" s="853"/>
      <c r="O135" s="853"/>
      <c r="P135" s="853"/>
    </row>
    <row r="136" spans="1:219" ht="15" customHeight="1">
      <c r="B136" s="9" t="s">
        <v>1230</v>
      </c>
      <c r="C136" s="1345"/>
      <c r="D136" s="1346"/>
      <c r="E136" s="1346"/>
      <c r="F136" s="1347"/>
      <c r="G136" s="855"/>
      <c r="H136" s="855"/>
      <c r="I136" s="855"/>
      <c r="J136" s="855"/>
      <c r="K136" s="856"/>
      <c r="L136" s="855"/>
      <c r="M136" s="855"/>
      <c r="N136" s="855"/>
      <c r="O136" s="855"/>
      <c r="P136" s="855"/>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0" t="s">
        <v>1635</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58">
        <v>60000</v>
      </c>
      <c r="G142" s="1359"/>
      <c r="H142" s="2"/>
      <c r="I142" s="2" t="s">
        <v>2080</v>
      </c>
      <c r="J142" s="2"/>
      <c r="K142" s="1358"/>
      <c r="L142" s="1359"/>
      <c r="M142" s="2"/>
      <c r="N142" s="2" t="s">
        <v>1524</v>
      </c>
      <c r="O142" s="2"/>
      <c r="P142" s="857">
        <v>24089.261840746669</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58">
        <v>37571.199999999997</v>
      </c>
      <c r="G143" s="1359"/>
      <c r="H143" s="2"/>
      <c r="I143" s="2" t="s">
        <v>2081</v>
      </c>
      <c r="J143" s="2"/>
      <c r="K143" s="1358">
        <v>6000</v>
      </c>
      <c r="L143" s="1359"/>
      <c r="M143" s="2"/>
      <c r="N143" s="2" t="s">
        <v>200</v>
      </c>
      <c r="O143" s="2"/>
      <c r="P143" s="857">
        <v>16000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58">
        <v>28000</v>
      </c>
      <c r="G144" s="1359"/>
      <c r="H144" s="2"/>
      <c r="I144" s="2"/>
      <c r="J144" s="168" t="s">
        <v>249</v>
      </c>
      <c r="K144" s="1354">
        <f>SUM(K142:L143)</f>
        <v>6000</v>
      </c>
      <c r="L144" s="1355"/>
      <c r="M144" s="2"/>
      <c r="N144" s="1360" t="s">
        <v>60</v>
      </c>
      <c r="O144" s="1361"/>
      <c r="P144" s="858"/>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69" t="s">
        <v>60</v>
      </c>
      <c r="C145" s="1370"/>
      <c r="D145" s="1370"/>
      <c r="E145" s="1371"/>
      <c r="F145" s="1364"/>
      <c r="G145" s="1365"/>
      <c r="H145" s="2"/>
      <c r="I145" s="2"/>
      <c r="J145" s="2"/>
      <c r="K145" s="2"/>
      <c r="L145" s="2"/>
      <c r="M145" s="2"/>
      <c r="N145" s="13" t="s">
        <v>249</v>
      </c>
      <c r="O145" s="2"/>
      <c r="P145" s="665">
        <f>SUM(P142:P144)</f>
        <v>40089.261840746665</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1354">
        <f>SUM(F142:G145)</f>
        <v>125571.2</v>
      </c>
      <c r="G146" s="1355"/>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25235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58">
        <v>12240</v>
      </c>
      <c r="G149" s="1359"/>
      <c r="H149" s="2"/>
      <c r="I149" s="2" t="s">
        <v>2364</v>
      </c>
      <c r="J149" s="2"/>
      <c r="K149" s="1362">
        <v>2316</v>
      </c>
      <c r="L149" s="1363"/>
      <c r="M149" s="2"/>
      <c r="N149" s="610">
        <f>+P148/(M63*0.93)</f>
        <v>452.2401433691756</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58">
        <v>2340</v>
      </c>
      <c r="G150" s="1359"/>
      <c r="H150" s="2"/>
      <c r="I150" s="2" t="s">
        <v>3141</v>
      </c>
      <c r="J150" s="2"/>
      <c r="K150" s="1372">
        <v>2160</v>
      </c>
      <c r="L150" s="1373"/>
      <c r="M150" s="2"/>
      <c r="N150" s="610">
        <f>+P148/(M63*0.93)/12</f>
        <v>37.686678614097964</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58"/>
      <c r="G151" s="1359"/>
      <c r="H151" s="2"/>
      <c r="I151" s="2" t="s">
        <v>2365</v>
      </c>
      <c r="J151" s="2"/>
      <c r="K151" s="1372">
        <v>12444</v>
      </c>
      <c r="L151" s="1373"/>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58"/>
      <c r="G152" s="1359"/>
      <c r="H152" s="2"/>
      <c r="I152" s="1360" t="s">
        <v>60</v>
      </c>
      <c r="J152" s="1361"/>
      <c r="K152" s="1362"/>
      <c r="L152" s="1363"/>
      <c r="M152" s="2"/>
      <c r="N152" s="1366" t="s">
        <v>3733</v>
      </c>
      <c r="O152" s="1367"/>
      <c r="P152" s="1367"/>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58">
        <v>4600</v>
      </c>
      <c r="G153" s="1359"/>
      <c r="H153" s="2"/>
      <c r="I153" s="11"/>
      <c r="J153" s="13" t="s">
        <v>249</v>
      </c>
      <c r="K153" s="1376">
        <f>SUM(K149:K152)</f>
        <v>16920</v>
      </c>
      <c r="L153" s="1377"/>
      <c r="M153" s="2"/>
      <c r="N153" s="1367"/>
      <c r="O153" s="1367"/>
      <c r="P153" s="1367"/>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69" t="s">
        <v>60</v>
      </c>
      <c r="C154" s="1370"/>
      <c r="D154" s="1370"/>
      <c r="E154" s="1371"/>
      <c r="F154" s="1364"/>
      <c r="G154" s="1365"/>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1354">
        <f>SUM(F149:G154)</f>
        <v>19180</v>
      </c>
      <c r="G155" s="1355"/>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7"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56">
        <v>7920</v>
      </c>
      <c r="G158" s="1357"/>
      <c r="H158" s="2"/>
      <c r="I158" s="2" t="s">
        <v>2070</v>
      </c>
      <c r="J158" s="662">
        <f>K158/12/$M$63</f>
        <v>31.4</v>
      </c>
      <c r="K158" s="1372">
        <v>22608</v>
      </c>
      <c r="L158" s="1373"/>
      <c r="M158" s="2"/>
      <c r="N158" s="368">
        <f>+$P$158/$M$63</f>
        <v>5237.9576973457779</v>
      </c>
      <c r="O158" s="30" t="s">
        <v>2110</v>
      </c>
      <c r="P158" s="663">
        <f>F146+F155+F166+K144+K153+K163+P145+P148</f>
        <v>314277.46184074669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56">
        <v>4000</v>
      </c>
      <c r="G159" s="1357"/>
      <c r="H159" s="2"/>
      <c r="I159" s="2" t="s">
        <v>2071</v>
      </c>
      <c r="J159" s="662">
        <f>K159/12/$M$63</f>
        <v>13.6</v>
      </c>
      <c r="K159" s="1372">
        <v>9792</v>
      </c>
      <c r="L159" s="1373"/>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56">
        <v>6480</v>
      </c>
      <c r="G160" s="1357"/>
      <c r="H160" s="2"/>
      <c r="I160" s="2" t="s">
        <v>3554</v>
      </c>
      <c r="J160" s="662">
        <f>K160/12/$M$63</f>
        <v>19.25277777777778</v>
      </c>
      <c r="K160" s="1372">
        <v>13862</v>
      </c>
      <c r="L160" s="1373"/>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58">
        <v>4200</v>
      </c>
      <c r="G161" s="1359"/>
      <c r="H161" s="2"/>
      <c r="I161" s="2" t="s">
        <v>2073</v>
      </c>
      <c r="J161" s="2"/>
      <c r="K161" s="1372">
        <v>1920</v>
      </c>
      <c r="L161" s="1373"/>
      <c r="M161" s="2"/>
      <c r="N161" s="11" t="s">
        <v>1922</v>
      </c>
      <c r="O161" s="11"/>
      <c r="P161" s="664">
        <f>P162*M63</f>
        <v>21000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58">
        <v>4320</v>
      </c>
      <c r="G162" s="1359"/>
      <c r="H162" s="2"/>
      <c r="I162" s="1360" t="s">
        <v>3966</v>
      </c>
      <c r="J162" s="1361"/>
      <c r="K162" s="1362">
        <v>3900</v>
      </c>
      <c r="L162" s="1363"/>
      <c r="M162" s="2"/>
      <c r="N162" s="30" t="s">
        <v>679</v>
      </c>
      <c r="O162" s="2"/>
      <c r="P162" s="859">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58">
        <v>2280</v>
      </c>
      <c r="G163" s="1359"/>
      <c r="H163" s="2"/>
      <c r="I163" s="2"/>
      <c r="J163" s="13" t="s">
        <v>249</v>
      </c>
      <c r="K163" s="1376">
        <f>SUM(K158:K162)</f>
        <v>52082</v>
      </c>
      <c r="L163" s="1377"/>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58"/>
      <c r="G164" s="1359"/>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69" t="s">
        <v>60</v>
      </c>
      <c r="C165" s="1370"/>
      <c r="D165" s="1370"/>
      <c r="E165" s="1371"/>
      <c r="F165" s="1364"/>
      <c r="G165" s="1365"/>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1374">
        <f>SUM(F158:G165)</f>
        <v>29200</v>
      </c>
      <c r="G166" s="1375"/>
      <c r="H166" s="2"/>
      <c r="I166" s="2"/>
      <c r="J166" s="14"/>
      <c r="K166" s="2"/>
      <c r="L166" s="2"/>
      <c r="M166" s="2"/>
      <c r="N166" s="2"/>
      <c r="O166" s="2"/>
      <c r="P166" s="663">
        <f>P158+P161</f>
        <v>335277.46184074669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2898</v>
      </c>
    </row>
    <row r="169" spans="1:219" ht="62.25" customHeight="1">
      <c r="A169" s="1018" t="s">
        <v>4068</v>
      </c>
      <c r="B169" s="1019"/>
      <c r="C169" s="1019"/>
      <c r="D169" s="1019"/>
      <c r="E169" s="1019"/>
      <c r="F169" s="1019"/>
      <c r="G169" s="1019"/>
      <c r="H169" s="1019"/>
      <c r="I169" s="1019"/>
      <c r="J169" s="1020"/>
      <c r="K169" s="1021"/>
      <c r="L169" s="1022"/>
      <c r="M169" s="1022"/>
      <c r="N169" s="1022"/>
      <c r="O169" s="1022"/>
      <c r="P169" s="1023"/>
    </row>
    <row r="170" spans="1:219" s="122" customFormat="1" ht="58.5" customHeight="1">
      <c r="A170" s="1015" t="s">
        <v>4069</v>
      </c>
      <c r="B170" s="1016"/>
      <c r="C170" s="1016"/>
      <c r="D170" s="1016"/>
      <c r="E170" s="1016"/>
      <c r="F170" s="1016"/>
      <c r="G170" s="1016"/>
      <c r="H170" s="1016"/>
      <c r="I170" s="1016"/>
      <c r="J170" s="1017"/>
      <c r="K170" s="1012"/>
      <c r="L170" s="1013"/>
      <c r="M170" s="1013"/>
      <c r="N170" s="1013"/>
      <c r="O170" s="1013"/>
      <c r="P170" s="1014"/>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24" t="s">
        <v>4042</v>
      </c>
      <c r="B171" s="1025"/>
      <c r="C171" s="1025"/>
      <c r="D171" s="1025"/>
      <c r="E171" s="1025"/>
      <c r="F171" s="1025"/>
      <c r="G171" s="1025"/>
      <c r="H171" s="1025"/>
      <c r="I171" s="1025"/>
      <c r="J171" s="1026"/>
      <c r="K171" s="1027"/>
      <c r="L171" s="1028"/>
      <c r="M171" s="1028"/>
      <c r="N171" s="1028"/>
      <c r="O171" s="1028"/>
      <c r="P171" s="102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7" right="0.7" top="0.75" bottom="0.75" header="0.3" footer="0.3"/>
  <pageSetup scale="73"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B65" zoomScaleNormal="100" workbookViewId="0">
      <selection activeCell="H89" sqref="H89"/>
    </sheetView>
  </sheetViews>
  <sheetFormatPr defaultColWidth="8.85546875" defaultRowHeight="12.75"/>
  <cols>
    <col min="1" max="1" width="22.28515625" style="9" customWidth="1"/>
    <col min="2" max="2" width="13.140625" style="9" customWidth="1"/>
    <col min="3" max="3" width="12.85546875" style="9" bestFit="1" customWidth="1"/>
    <col min="4" max="7" width="12" style="9" customWidth="1"/>
    <col min="8" max="9" width="13" style="9" customWidth="1"/>
    <col min="10" max="11" width="12" style="9" customWidth="1"/>
    <col min="12" max="16384" width="8.85546875" style="9"/>
  </cols>
  <sheetData>
    <row r="1" spans="1:15" s="19" customFormat="1" ht="13.9" customHeight="1">
      <c r="A1" s="1383" t="str">
        <f>CONCATENATE("PART SEVEN - OPERATING PRO FORMA","  -  ",'Part I-Project Information'!$O$4," ",'Part I-Project Information'!$F$22,", ",'Part I-Project Information'!F24,", ",'Part I-Project Information'!J25," County")</f>
        <v>PART SEVEN - OPERATING PRO FORMA  -  2011-012 Veteran Senior Housing - Assisted Living, Decatur, DeKalb County</v>
      </c>
      <c r="B1" s="1384"/>
      <c r="C1" s="1384"/>
      <c r="D1" s="1384"/>
      <c r="E1" s="1384"/>
      <c r="F1" s="1384"/>
      <c r="G1" s="1384"/>
      <c r="H1" s="1384"/>
      <c r="I1" s="1384"/>
      <c r="J1" s="1384"/>
      <c r="K1" s="1385"/>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3296</v>
      </c>
      <c r="B5" s="108">
        <v>0.02</v>
      </c>
      <c r="C5" s="19"/>
      <c r="D5" s="19" t="s">
        <v>1365</v>
      </c>
      <c r="F5" s="19"/>
      <c r="G5" s="818">
        <v>10000</v>
      </c>
      <c r="H5" s="132" t="s">
        <v>2972</v>
      </c>
      <c r="K5" s="138">
        <f>IF(($B$14+$B$15+$B$16+$B$17)=0,"",-B30/($B$14+$B$15+$B$16+$B$17))</f>
        <v>2.3776323366762692E-2</v>
      </c>
    </row>
    <row r="6" spans="1:15">
      <c r="A6" s="19" t="s">
        <v>3297</v>
      </c>
      <c r="B6" s="108">
        <v>0.03</v>
      </c>
      <c r="C6" s="19"/>
      <c r="D6" s="19" t="s">
        <v>1366</v>
      </c>
      <c r="F6" s="19"/>
      <c r="G6" s="819" t="s">
        <v>3983</v>
      </c>
      <c r="H6" s="132" t="s">
        <v>3588</v>
      </c>
      <c r="K6" s="138">
        <f>IF(($B$14+$B$15+$B$16+$B$17)=0,"",-B32/($B$14+$B$15+$B$16+$B$17))</f>
        <v>3.4622265582769506E-2</v>
      </c>
    </row>
    <row r="7" spans="1:15">
      <c r="A7" s="19" t="s">
        <v>3299</v>
      </c>
      <c r="B7" s="108">
        <v>0.03</v>
      </c>
      <c r="C7" s="19"/>
      <c r="D7" s="110" t="s">
        <v>357</v>
      </c>
      <c r="G7" s="112"/>
      <c r="H7" s="132" t="s">
        <v>3589</v>
      </c>
      <c r="K7" s="138">
        <f>IF(($B$14+$B$15+$B$16+$B$17)=0,"",-B20/($B$14+$B$15+$B$16+$B$17))</f>
        <v>5.9999552016025651E-2</v>
      </c>
    </row>
    <row r="8" spans="1:15" ht="13.15" customHeight="1">
      <c r="A8" s="19" t="s">
        <v>3298</v>
      </c>
      <c r="B8" s="820">
        <v>7.0000000000000007E-2</v>
      </c>
      <c r="C8" s="19"/>
      <c r="D8" s="109" t="s">
        <v>3790</v>
      </c>
      <c r="G8" s="821"/>
      <c r="H8" s="232" t="s">
        <v>2168</v>
      </c>
      <c r="K8" s="822"/>
    </row>
    <row r="9" spans="1:15">
      <c r="A9" s="19" t="s">
        <v>2129</v>
      </c>
      <c r="B9" s="108">
        <v>0.02</v>
      </c>
      <c r="D9" s="109" t="s">
        <v>2743</v>
      </c>
      <c r="G9" s="821" t="s">
        <v>3928</v>
      </c>
      <c r="H9" s="232" t="s">
        <v>3562</v>
      </c>
      <c r="K9" s="823">
        <v>0.06</v>
      </c>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443376</v>
      </c>
      <c r="C14" s="22">
        <f t="shared" ref="C14:K14" si="1">$B$14*(1+$B$5)^(C13-1)</f>
        <v>452243.52</v>
      </c>
      <c r="D14" s="22">
        <f t="shared" si="1"/>
        <v>461288.39039999997</v>
      </c>
      <c r="E14" s="22">
        <f t="shared" si="1"/>
        <v>470514.15820799995</v>
      </c>
      <c r="F14" s="22">
        <f t="shared" si="1"/>
        <v>479924.44137215998</v>
      </c>
      <c r="G14" s="22">
        <f t="shared" si="1"/>
        <v>489522.9301996032</v>
      </c>
      <c r="H14" s="22">
        <f t="shared" si="1"/>
        <v>499313.38880359527</v>
      </c>
      <c r="I14" s="22">
        <f t="shared" si="1"/>
        <v>509299.65657966706</v>
      </c>
      <c r="J14" s="22">
        <f t="shared" si="1"/>
        <v>519485.64971126046</v>
      </c>
      <c r="K14" s="23">
        <f t="shared" si="1"/>
        <v>529875.36270548566</v>
      </c>
    </row>
    <row r="15" spans="1:15" ht="13.15" customHeight="1">
      <c r="A15" s="24" t="s">
        <v>1632</v>
      </c>
      <c r="B15" s="25">
        <f>MIN(B14*B9,'Part VI-Revenues &amp; Expenses'!G102)</f>
        <v>8867.52</v>
      </c>
      <c r="C15" s="25">
        <f t="shared" ref="C15:K15" si="2">$B$15*(1+$B$5)^(C13-1)</f>
        <v>9044.8703999999998</v>
      </c>
      <c r="D15" s="25">
        <f t="shared" si="2"/>
        <v>9225.7678080000005</v>
      </c>
      <c r="E15" s="25">
        <f t="shared" si="2"/>
        <v>9410.2831641600005</v>
      </c>
      <c r="F15" s="25">
        <f t="shared" si="2"/>
        <v>9598.4888274431996</v>
      </c>
      <c r="G15" s="25">
        <f t="shared" si="2"/>
        <v>9790.458603992065</v>
      </c>
      <c r="H15" s="25">
        <f t="shared" si="2"/>
        <v>9986.2677760719071</v>
      </c>
      <c r="I15" s="25">
        <f t="shared" si="2"/>
        <v>10185.993131593343</v>
      </c>
      <c r="J15" s="25">
        <f t="shared" si="2"/>
        <v>10389.71299422521</v>
      </c>
      <c r="K15" s="26">
        <f t="shared" si="2"/>
        <v>10597.507254109714</v>
      </c>
    </row>
    <row r="16" spans="1:15" ht="13.15" customHeight="1">
      <c r="A16" s="24" t="s">
        <v>3644</v>
      </c>
      <c r="B16" s="25">
        <f t="shared" ref="B16:K16" si="3">-(B14+B15)*$B$8</f>
        <v>-31657.046400000003</v>
      </c>
      <c r="C16" s="25">
        <f t="shared" si="3"/>
        <v>-32290.187328000004</v>
      </c>
      <c r="D16" s="25">
        <f t="shared" si="3"/>
        <v>-32935.991074559999</v>
      </c>
      <c r="E16" s="25">
        <f t="shared" si="3"/>
        <v>-33594.710896051198</v>
      </c>
      <c r="F16" s="25">
        <f t="shared" si="3"/>
        <v>-34266.605113972226</v>
      </c>
      <c r="G16" s="25">
        <f t="shared" si="3"/>
        <v>-34951.937216251674</v>
      </c>
      <c r="H16" s="25">
        <f t="shared" si="3"/>
        <v>-35650.975960576703</v>
      </c>
      <c r="I16" s="25">
        <f t="shared" si="3"/>
        <v>-36363.995479788231</v>
      </c>
      <c r="J16" s="25">
        <f t="shared" si="3"/>
        <v>-37091.275389383998</v>
      </c>
      <c r="K16" s="26">
        <f t="shared" si="3"/>
        <v>-37833.10089717168</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-289042.46184074669</v>
      </c>
      <c r="C19" s="25">
        <f t="shared" ref="C19:K19" si="4">$B$19*(1+$B$6)^(C13-1)</f>
        <v>-297713.73569596908</v>
      </c>
      <c r="D19" s="25">
        <f t="shared" si="4"/>
        <v>-306645.14776684815</v>
      </c>
      <c r="E19" s="25">
        <f t="shared" si="4"/>
        <v>-315844.5021998536</v>
      </c>
      <c r="F19" s="25">
        <f t="shared" si="4"/>
        <v>-325319.83726584917</v>
      </c>
      <c r="G19" s="25">
        <f t="shared" si="4"/>
        <v>-335079.43238382466</v>
      </c>
      <c r="H19" s="25">
        <f t="shared" si="4"/>
        <v>-345131.81535533944</v>
      </c>
      <c r="I19" s="25">
        <f t="shared" si="4"/>
        <v>-355485.76981599961</v>
      </c>
      <c r="J19" s="25">
        <f t="shared" si="4"/>
        <v>-366150.34291047958</v>
      </c>
      <c r="K19" s="26">
        <f t="shared" si="4"/>
        <v>-377134.85319779394</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-25235</v>
      </c>
      <c r="C20" s="25">
        <f>IF(AND('Part VII-Pro Forma'!$G$8="Yes",'Part VII-Pro Forma'!$G$9="Yes"),"Choose One!",IF('Part VII-Pro Forma'!$G$8="Yes",ROUND((-$K$8*(1+'Part VII-Pro Forma'!$B$6)^('Part VII-Pro Forma'!C13-1)),),IF('Part VII-Pro Forma'!$G$9="Yes",ROUND((-(SUM(C14:C17)*'Part VII-Pro Forma'!$K$9)),),"Choose mgt fee")))</f>
        <v>-25740</v>
      </c>
      <c r="D20" s="25">
        <f>IF(AND('Part VII-Pro Forma'!$G$8="Yes",'Part VII-Pro Forma'!$G$9="Yes"),"Choose One!",IF('Part VII-Pro Forma'!$G$8="Yes",ROUND((-$K$8*(1+'Part VII-Pro Forma'!$B$6)^('Part VII-Pro Forma'!D13-1)),),IF('Part VII-Pro Forma'!$G$9="Yes",ROUND((-(SUM(D14:D17)*'Part VII-Pro Forma'!$K$9)),),"Choose mgt fee")))</f>
        <v>-26255</v>
      </c>
      <c r="E20" s="25">
        <f>IF(AND('Part VII-Pro Forma'!$G$8="Yes",'Part VII-Pro Forma'!$G$9="Yes"),"Choose One!",IF('Part VII-Pro Forma'!$G$8="Yes",ROUND((-$K$8*(1+'Part VII-Pro Forma'!$B$6)^('Part VII-Pro Forma'!E13-1)),),IF('Part VII-Pro Forma'!$G$9="Yes",ROUND((-(SUM(E14:E17)*'Part VII-Pro Forma'!$K$9)),),"Choose mgt fee")))</f>
        <v>-26780</v>
      </c>
      <c r="F20" s="25">
        <f>IF(AND('Part VII-Pro Forma'!$G$8="Yes",'Part VII-Pro Forma'!$G$9="Yes"),"Choose One!",IF('Part VII-Pro Forma'!$G$8="Yes",ROUND((-$K$8*(1+'Part VII-Pro Forma'!$B$6)^('Part VII-Pro Forma'!F13-1)),),IF('Part VII-Pro Forma'!$G$9="Yes",ROUND((-(SUM(F14:F17)*'Part VII-Pro Forma'!$K$9)),),"Choose mgt fee")))</f>
        <v>-27315</v>
      </c>
      <c r="G20" s="25">
        <f>IF(AND('Part VII-Pro Forma'!$G$8="Yes",'Part VII-Pro Forma'!$G$9="Yes"),"Choose One!",IF('Part VII-Pro Forma'!$G$8="Yes",ROUND((-$K$8*(1+'Part VII-Pro Forma'!$B$6)^('Part VII-Pro Forma'!G13-1)),),IF('Part VII-Pro Forma'!$G$9="Yes",ROUND((-(SUM(G14:G17)*'Part VII-Pro Forma'!$K$9)),),"Choose mgt fee")))</f>
        <v>-27862</v>
      </c>
      <c r="H20" s="25">
        <f>IF(AND('Part VII-Pro Forma'!$G$8="Yes",'Part VII-Pro Forma'!$G$9="Yes"),"Choose One!",IF('Part VII-Pro Forma'!$G$8="Yes",ROUND((-$K$8*(1+'Part VII-Pro Forma'!$B$6)^('Part VII-Pro Forma'!H13-1)),),IF('Part VII-Pro Forma'!$G$9="Yes",ROUND((-(SUM(H14:H17)*'Part VII-Pro Forma'!$K$9)),),"Choose mgt fee")))</f>
        <v>-28419</v>
      </c>
      <c r="I20" s="25">
        <f>IF(AND('Part VII-Pro Forma'!$G$8="Yes",'Part VII-Pro Forma'!$G$9="Yes"),"Choose One!",IF('Part VII-Pro Forma'!$G$8="Yes",ROUND((-$K$8*(1+'Part VII-Pro Forma'!$B$6)^('Part VII-Pro Forma'!I13-1)),),IF('Part VII-Pro Forma'!$G$9="Yes",ROUND((-(SUM(I14:I17)*'Part VII-Pro Forma'!$K$9)),),"Choose mgt fee")))</f>
        <v>-28987</v>
      </c>
      <c r="J20" s="25">
        <f>IF(AND('Part VII-Pro Forma'!$G$8="Yes",'Part VII-Pro Forma'!$G$9="Yes"),"Choose One!",IF('Part VII-Pro Forma'!$G$8="Yes",ROUND((-$K$8*(1+'Part VII-Pro Forma'!$B$6)^('Part VII-Pro Forma'!J13-1)),),IF('Part VII-Pro Forma'!$G$9="Yes",ROUND((-(SUM(J14:J17)*'Part VII-Pro Forma'!$K$9)),),"Choose mgt fee")))</f>
        <v>-29567</v>
      </c>
      <c r="K20" s="25">
        <f>IF(AND('Part VII-Pro Forma'!$G$8="Yes",'Part VII-Pro Forma'!$G$9="Yes"),"Choose One!",IF('Part VII-Pro Forma'!$G$8="Yes",ROUND((-$K$8*(1+'Part VII-Pro Forma'!$B$6)^('Part VII-Pro Forma'!K13-1)),),IF('Part VII-Pro Forma'!$G$9="Yes",ROUND((-(SUM(K14:K17)*'Part VII-Pro Forma'!$K$9)),),"Choose mgt fee")))</f>
        <v>-30158</v>
      </c>
    </row>
    <row r="21" spans="1:11" ht="13.15" customHeight="1">
      <c r="A21" s="24" t="s">
        <v>1862</v>
      </c>
      <c r="B21" s="25">
        <f>-('Part VI-Revenues &amp; Expenses'!P161)</f>
        <v>-21000</v>
      </c>
      <c r="C21" s="25">
        <f t="shared" ref="C21:K21" si="5">$B$21*(1+$B$7)^(C13-1)</f>
        <v>-21630</v>
      </c>
      <c r="D21" s="25">
        <f t="shared" si="5"/>
        <v>-22278.899999999998</v>
      </c>
      <c r="E21" s="25">
        <f t="shared" si="5"/>
        <v>-22947.267</v>
      </c>
      <c r="F21" s="25">
        <f t="shared" si="5"/>
        <v>-23635.685009999997</v>
      </c>
      <c r="G21" s="25">
        <f t="shared" si="5"/>
        <v>-24344.755560299996</v>
      </c>
      <c r="H21" s="25">
        <f t="shared" si="5"/>
        <v>-25075.098227109</v>
      </c>
      <c r="I21" s="25">
        <f t="shared" si="5"/>
        <v>-25827.35117392227</v>
      </c>
      <c r="J21" s="25">
        <f t="shared" si="5"/>
        <v>-26602.171709139933</v>
      </c>
      <c r="K21" s="26">
        <f t="shared" si="5"/>
        <v>-27400.236860414134</v>
      </c>
    </row>
    <row r="22" spans="1:11" ht="13.15" customHeight="1">
      <c r="A22" s="24" t="s">
        <v>1863</v>
      </c>
      <c r="B22" s="25">
        <f t="shared" ref="B22:K22" si="6">SUM(B14:B21)</f>
        <v>85309.011759253335</v>
      </c>
      <c r="C22" s="25">
        <f t="shared" si="6"/>
        <v>83914.467376030923</v>
      </c>
      <c r="D22" s="25">
        <f t="shared" si="6"/>
        <v>82399.119366591825</v>
      </c>
      <c r="E22" s="25">
        <f t="shared" si="6"/>
        <v>80757.961276255141</v>
      </c>
      <c r="F22" s="25">
        <f t="shared" si="6"/>
        <v>78985.802809781817</v>
      </c>
      <c r="G22" s="25">
        <f t="shared" si="6"/>
        <v>77075.263643218932</v>
      </c>
      <c r="H22" s="25">
        <f t="shared" si="6"/>
        <v>75022.767036642006</v>
      </c>
      <c r="I22" s="25">
        <f t="shared" si="6"/>
        <v>72821.533241550293</v>
      </c>
      <c r="J22" s="25">
        <f t="shared" si="6"/>
        <v>70464.572696482137</v>
      </c>
      <c r="K22" s="26">
        <f t="shared" si="6"/>
        <v>67946.67900421565</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824">
        <f>IF('Part III A-Sources of Funds'!$M$33="", 0,-'Part III A-Sources of Funds'!$M$33)</f>
        <v>-56561.941022378742</v>
      </c>
      <c r="C25" s="824">
        <f>IF('Part III A-Sources of Funds'!$M$33="", 0,-'Part III A-Sources of Funds'!$M$33)</f>
        <v>-56561.941022378742</v>
      </c>
      <c r="D25" s="824">
        <f>IF('Part III A-Sources of Funds'!$M$33="", 0,-'Part III A-Sources of Funds'!$M$33)</f>
        <v>-56561.941022378742</v>
      </c>
      <c r="E25" s="824">
        <f>IF('Part III A-Sources of Funds'!$M$33="", 0,-'Part III A-Sources of Funds'!$M$33)</f>
        <v>-56561.941022378742</v>
      </c>
      <c r="F25" s="824">
        <f>IF('Part III A-Sources of Funds'!$M$33="", 0,-'Part III A-Sources of Funds'!$M$33)</f>
        <v>-56561.941022378742</v>
      </c>
      <c r="G25" s="824">
        <f>IF('Part III A-Sources of Funds'!$M$33="", 0,-'Part III A-Sources of Funds'!$M$33)</f>
        <v>-56561.941022378742</v>
      </c>
      <c r="H25" s="824">
        <f>IF('Part III A-Sources of Funds'!$M$33="", 0,-'Part III A-Sources of Funds'!$M$33)</f>
        <v>-56561.941022378742</v>
      </c>
      <c r="I25" s="824">
        <f>IF('Part III A-Sources of Funds'!$M$33="", 0,-'Part III A-Sources of Funds'!$M$33)</f>
        <v>-56561.941022378742</v>
      </c>
      <c r="J25" s="824">
        <f>IF('Part III A-Sources of Funds'!$M$33="", 0,-'Part III A-Sources of Funds'!$M$33)</f>
        <v>-56561.941022378742</v>
      </c>
      <c r="K25" s="824">
        <f>IF('Part III A-Sources of Funds'!$M$33="", 0,-'Part III A-Sources of Funds'!$M$33)</f>
        <v>-56561.941022378742</v>
      </c>
    </row>
    <row r="26" spans="1:11" ht="13.15" customHeight="1">
      <c r="A26" s="24" t="str">
        <f>IF('Part III A-Sources of Funds'!$E$32 = "Neither", "D/S Mortgage B","D/S Mortgage C")</f>
        <v>D/S Mortgage B</v>
      </c>
      <c r="B26" s="824">
        <f>IF('Part III A-Sources of Funds'!$M$34="", 0,-'Part III A-Sources of Funds'!$M$34)</f>
        <v>0</v>
      </c>
      <c r="C26" s="824">
        <f>IF('Part III A-Sources of Funds'!$M$34="", 0,-'Part III A-Sources of Funds'!$M$34)</f>
        <v>0</v>
      </c>
      <c r="D26" s="824">
        <f>IF('Part III A-Sources of Funds'!$M$34="", 0,-'Part III A-Sources of Funds'!$M$34)</f>
        <v>0</v>
      </c>
      <c r="E26" s="824">
        <f>IF('Part III A-Sources of Funds'!$M$34="", 0,-'Part III A-Sources of Funds'!$M$34)</f>
        <v>0</v>
      </c>
      <c r="F26" s="824">
        <f>IF('Part III A-Sources of Funds'!$M$34="", 0,-'Part III A-Sources of Funds'!$M$34)</f>
        <v>0</v>
      </c>
      <c r="G26" s="824">
        <f>IF('Part III A-Sources of Funds'!$M$34="", 0,-'Part III A-Sources of Funds'!$M$34)</f>
        <v>0</v>
      </c>
      <c r="H26" s="824">
        <f>IF('Part III A-Sources of Funds'!$M$34="", 0,-'Part III A-Sources of Funds'!$M$34)</f>
        <v>0</v>
      </c>
      <c r="I26" s="824">
        <f>IF('Part III A-Sources of Funds'!$M$34="", 0,-'Part III A-Sources of Funds'!$M$34)</f>
        <v>0</v>
      </c>
      <c r="J26" s="824">
        <f>IF('Part III A-Sources of Funds'!$M$34="", 0,-'Part III A-Sources of Funds'!$M$34)</f>
        <v>0</v>
      </c>
      <c r="K26" s="824">
        <f>IF('Part III A-Sources of Funds'!$M$34="", 0,-'Part III A-Sources of Funds'!$M$34)</f>
        <v>0</v>
      </c>
    </row>
    <row r="27" spans="1:11" ht="13.15" customHeight="1">
      <c r="A27" s="24" t="s">
        <v>1362</v>
      </c>
      <c r="B27" s="824">
        <f>IF('Part III A-Sources of Funds'!$M$35="", 0,-'Part III A-Sources of Funds'!$M$35)</f>
        <v>0</v>
      </c>
      <c r="C27" s="824">
        <f>IF('Part III A-Sources of Funds'!$M$35="", 0,-'Part III A-Sources of Funds'!$M$35)</f>
        <v>0</v>
      </c>
      <c r="D27" s="824">
        <f>IF('Part III A-Sources of Funds'!$M$35="", 0,-'Part III A-Sources of Funds'!$M$35)</f>
        <v>0</v>
      </c>
      <c r="E27" s="824">
        <f>IF('Part III A-Sources of Funds'!$M$35="", 0,-'Part III A-Sources of Funds'!$M$35)</f>
        <v>0</v>
      </c>
      <c r="F27" s="824">
        <f>IF('Part III A-Sources of Funds'!$M$35="", 0,-'Part III A-Sources of Funds'!$M$35)</f>
        <v>0</v>
      </c>
      <c r="G27" s="824">
        <f>IF('Part III A-Sources of Funds'!$M$35="", 0,-'Part III A-Sources of Funds'!$M$35)</f>
        <v>0</v>
      </c>
      <c r="H27" s="824">
        <f>IF('Part III A-Sources of Funds'!$M$35="", 0,-'Part III A-Sources of Funds'!$M$35)</f>
        <v>0</v>
      </c>
      <c r="I27" s="824">
        <f>IF('Part III A-Sources of Funds'!$M$35="", 0,-'Part III A-Sources of Funds'!$M$35)</f>
        <v>0</v>
      </c>
      <c r="J27" s="824">
        <f>IF('Part III A-Sources of Funds'!$M$35="", 0,-'Part III A-Sources of Funds'!$M$35)</f>
        <v>0</v>
      </c>
      <c r="K27" s="824">
        <f>IF('Part III A-Sources of Funds'!$M$35="", 0,-'Part III A-Sources of Funds'!$M$35)</f>
        <v>0</v>
      </c>
    </row>
    <row r="28" spans="1:11" ht="13.15" customHeight="1">
      <c r="A28" s="24" t="s">
        <v>807</v>
      </c>
      <c r="B28" s="824">
        <f>IF('Part III A-Sources of Funds'!$M$36="", 0,-'Part III A-Sources of Funds'!$M$36)</f>
        <v>0</v>
      </c>
      <c r="C28" s="824">
        <f>IF('Part III A-Sources of Funds'!$M$36="", 0,-'Part III A-Sources of Funds'!$M$36)</f>
        <v>0</v>
      </c>
      <c r="D28" s="824">
        <f>IF('Part III A-Sources of Funds'!$M$36="", 0,-'Part III A-Sources of Funds'!$M$36)</f>
        <v>0</v>
      </c>
      <c r="E28" s="824">
        <f>IF('Part III A-Sources of Funds'!$M$36="", 0,-'Part III A-Sources of Funds'!$M$36)</f>
        <v>0</v>
      </c>
      <c r="F28" s="824">
        <f>IF('Part III A-Sources of Funds'!$M$36="", 0,-'Part III A-Sources of Funds'!$M$36)</f>
        <v>0</v>
      </c>
      <c r="G28" s="824">
        <f>IF('Part III A-Sources of Funds'!$M$36="", 0,-'Part III A-Sources of Funds'!$M$36)</f>
        <v>0</v>
      </c>
      <c r="H28" s="824">
        <f>IF('Part III A-Sources of Funds'!$M$36="", 0,-'Part III A-Sources of Funds'!$M$36)</f>
        <v>0</v>
      </c>
      <c r="I28" s="824">
        <f>IF('Part III A-Sources of Funds'!$M$36="", 0,-'Part III A-Sources of Funds'!$M$36)</f>
        <v>0</v>
      </c>
      <c r="J28" s="824">
        <f>IF('Part III A-Sources of Funds'!$M$36="", 0,-'Part III A-Sources of Funds'!$M$36)</f>
        <v>0</v>
      </c>
      <c r="K28" s="824">
        <f>IF('Part III A-Sources of Funds'!$M$36="", 0,-'Part III A-Sources of Funds'!$M$36)</f>
        <v>0</v>
      </c>
    </row>
    <row r="29" spans="1:11" ht="13.15" customHeight="1">
      <c r="A29" s="24" t="s">
        <v>1336</v>
      </c>
      <c r="B29" s="825"/>
      <c r="C29" s="825"/>
      <c r="D29" s="825"/>
      <c r="E29" s="825"/>
      <c r="F29" s="825"/>
      <c r="G29" s="825"/>
      <c r="H29" s="825"/>
      <c r="I29" s="825"/>
      <c r="J29" s="825"/>
      <c r="K29" s="825"/>
    </row>
    <row r="30" spans="1:11" ht="13.15" customHeight="1">
      <c r="A30" s="24" t="s">
        <v>1807</v>
      </c>
      <c r="B30" s="824">
        <v>-10000</v>
      </c>
      <c r="C30" s="824">
        <v>-10103</v>
      </c>
      <c r="D30" s="824">
        <v>-10207.0609</v>
      </c>
      <c r="E30" s="824">
        <v>-10312.19362727</v>
      </c>
      <c r="F30" s="824">
        <v>-10418.409221630882</v>
      </c>
      <c r="G30" s="824">
        <v>-10525.71883661368</v>
      </c>
      <c r="H30" s="824">
        <v>-10634.133740630801</v>
      </c>
      <c r="I30" s="824">
        <v>-10743.665318159299</v>
      </c>
      <c r="J30" s="824">
        <v>-10854.32507093634</v>
      </c>
      <c r="K30" s="824">
        <v>-10966.124619166985</v>
      </c>
    </row>
    <row r="31" spans="1:11" ht="13.15" customHeight="1">
      <c r="A31" s="24" t="s">
        <v>1864</v>
      </c>
      <c r="B31" s="824">
        <v>-545</v>
      </c>
      <c r="C31" s="824"/>
      <c r="D31" s="824"/>
      <c r="E31" s="824"/>
      <c r="F31" s="824"/>
      <c r="G31" s="824"/>
      <c r="H31" s="824"/>
      <c r="I31" s="824"/>
      <c r="J31" s="824"/>
      <c r="K31" s="824"/>
    </row>
    <row r="32" spans="1:11" ht="13.15" customHeight="1">
      <c r="A32" s="24" t="s">
        <v>1808</v>
      </c>
      <c r="B32" s="826">
        <v>-14561.656589499675</v>
      </c>
      <c r="C32" s="826">
        <v>-13799.621082921745</v>
      </c>
      <c r="D32" s="826">
        <v>-12504.093955370467</v>
      </c>
      <c r="E32" s="826">
        <v>-11107.061301285119</v>
      </c>
      <c r="F32" s="826">
        <v>-9604.3620526177547</v>
      </c>
      <c r="G32" s="826">
        <v>-7990.0830273812089</v>
      </c>
      <c r="H32" s="826">
        <v>-6261.3538189059709</v>
      </c>
      <c r="I32" s="826">
        <v>-4412.7415208098018</v>
      </c>
      <c r="J32" s="826">
        <v>-2438.6452825336441</v>
      </c>
      <c r="K32" s="826">
        <v>-334.89069013593837</v>
      </c>
    </row>
    <row r="33" spans="1:11" ht="13.15" customHeight="1">
      <c r="A33" s="24" t="s">
        <v>1809</v>
      </c>
      <c r="B33" s="25">
        <f t="shared" ref="B33:K33" si="7">SUM(B22:B32)</f>
        <v>3640.4141473749187</v>
      </c>
      <c r="C33" s="25">
        <f t="shared" si="7"/>
        <v>3449.9052707304363</v>
      </c>
      <c r="D33" s="25">
        <f t="shared" si="7"/>
        <v>3126.0234888426166</v>
      </c>
      <c r="E33" s="25">
        <f t="shared" si="7"/>
        <v>2776.7653253212793</v>
      </c>
      <c r="F33" s="25">
        <f t="shared" si="7"/>
        <v>2401.0905131544387</v>
      </c>
      <c r="G33" s="25">
        <f t="shared" si="7"/>
        <v>1997.5207568453015</v>
      </c>
      <c r="H33" s="25">
        <f t="shared" si="7"/>
        <v>1565.3384547264923</v>
      </c>
      <c r="I33" s="25">
        <f t="shared" si="7"/>
        <v>1103.1853802024498</v>
      </c>
      <c r="J33" s="25">
        <f t="shared" si="7"/>
        <v>609.66132063341092</v>
      </c>
      <c r="K33" s="23">
        <f t="shared" si="7"/>
        <v>83.722672533984564</v>
      </c>
    </row>
    <row r="34" spans="1:11" ht="13.15" customHeight="1">
      <c r="A34" s="24" t="str">
        <f>IF('Part III A-Sources of Funds'!$E$32 = "Neither", "", "DCR First Mortgage")</f>
        <v/>
      </c>
      <c r="B34" s="27" t="str">
        <f>IF(B23=0,"",-B22/B23)</f>
        <v/>
      </c>
      <c r="C34" s="27" t="str">
        <f t="shared" ref="C34:K34" si="8">IF(C23=0,"",-C22/C23)</f>
        <v/>
      </c>
      <c r="D34" s="27" t="str">
        <f t="shared" si="8"/>
        <v/>
      </c>
      <c r="E34" s="27" t="str">
        <f t="shared" si="8"/>
        <v/>
      </c>
      <c r="F34" s="27" t="str">
        <f t="shared" si="8"/>
        <v/>
      </c>
      <c r="G34" s="27" t="str">
        <f t="shared" si="8"/>
        <v/>
      </c>
      <c r="H34" s="27" t="str">
        <f t="shared" si="8"/>
        <v/>
      </c>
      <c r="I34" s="27" t="str">
        <f t="shared" si="8"/>
        <v/>
      </c>
      <c r="J34" s="27" t="str">
        <f t="shared" si="8"/>
        <v/>
      </c>
      <c r="K34" s="28" t="str">
        <f t="shared" si="8"/>
        <v/>
      </c>
    </row>
    <row r="35" spans="1:11" ht="13.15" customHeight="1">
      <c r="A35" s="24" t="str">
        <f>IF('Part III A-Sources of Funds'!$E$32 = "Neither", "", "DCR USDA/HUD Fee")</f>
        <v/>
      </c>
      <c r="B35" s="27" t="str">
        <f>IF(OR(B24=0,AND(B24=0,B23=0)),"",-B22/(B23+B24))</f>
        <v/>
      </c>
      <c r="C35" s="27" t="str">
        <f t="shared" ref="C35:K35" si="9">IF(OR(C24=0,AND(C24=0,C23=0)),"",-C22/(C23+C24))</f>
        <v/>
      </c>
      <c r="D35" s="27" t="str">
        <f t="shared" si="9"/>
        <v/>
      </c>
      <c r="E35" s="27" t="str">
        <f t="shared" si="9"/>
        <v/>
      </c>
      <c r="F35" s="27" t="str">
        <f t="shared" si="9"/>
        <v/>
      </c>
      <c r="G35" s="27" t="str">
        <f t="shared" si="9"/>
        <v/>
      </c>
      <c r="H35" s="27" t="str">
        <f t="shared" si="9"/>
        <v/>
      </c>
      <c r="I35" s="27" t="str">
        <f t="shared" si="9"/>
        <v/>
      </c>
      <c r="J35" s="27" t="str">
        <f t="shared" si="9"/>
        <v/>
      </c>
      <c r="K35" s="28" t="str">
        <f t="shared" si="9"/>
        <v/>
      </c>
    </row>
    <row r="36" spans="1:11" ht="13.15" customHeight="1">
      <c r="A36" s="24" t="str">
        <f>IF('Part III A-Sources of Funds'!$E$32 = "Neither", "DCR First Mortgage", "DCR Second Mortgage")</f>
        <v>DCR First Mortgage</v>
      </c>
      <c r="B36" s="27">
        <f>IF(OR(B25=0,AND(B25=0,B24=0,B23=0)),"",-B22/(B23+B24+B25))</f>
        <v>1.5082405274157902</v>
      </c>
      <c r="C36" s="27">
        <f t="shared" ref="C36:K36" si="10">IF(OR(C25=0,AND(C25=0,C24=0,C23=0)),"",-C22/(C23+C24+C25))</f>
        <v>1.4835853554394491</v>
      </c>
      <c r="D36" s="27">
        <f t="shared" si="10"/>
        <v>1.4567944076387089</v>
      </c>
      <c r="E36" s="27">
        <f t="shared" si="10"/>
        <v>1.4277791712328833</v>
      </c>
      <c r="F36" s="27">
        <f t="shared" si="10"/>
        <v>1.396447883189353</v>
      </c>
      <c r="G36" s="27">
        <f t="shared" si="10"/>
        <v>1.3626700613531648</v>
      </c>
      <c r="H36" s="27">
        <f t="shared" si="10"/>
        <v>1.3263824699184075</v>
      </c>
      <c r="I36" s="27">
        <f t="shared" si="10"/>
        <v>1.2874652447436066</v>
      </c>
      <c r="J36" s="27">
        <f t="shared" si="10"/>
        <v>1.2457948122502165</v>
      </c>
      <c r="K36" s="28">
        <f t="shared" si="10"/>
        <v>1.2012791247268642</v>
      </c>
    </row>
    <row r="37" spans="1:11" ht="13.15" customHeight="1">
      <c r="A37" s="24" t="str">
        <f>IF('Part III A-Sources of Funds'!$E$32 = "Neither", "DCR Second Mortgage", "DCR Third Mortgage")</f>
        <v>DCR Second Mortgage</v>
      </c>
      <c r="B37" s="27" t="str">
        <f>IF(OR(B26=0,AND(B23=0,B24=0,B25=0,B26=0)),"",-B22/(B23+B24+B25+B26))</f>
        <v/>
      </c>
      <c r="C37" s="27" t="str">
        <f t="shared" ref="C37:K37" si="11">IF(OR(C26=0,AND(C23=0,C24=0,C25=0,C26=0)),"",-C22/(C23+C24+C25+C26))</f>
        <v/>
      </c>
      <c r="D37" s="27" t="str">
        <f t="shared" si="11"/>
        <v/>
      </c>
      <c r="E37" s="27" t="str">
        <f t="shared" si="11"/>
        <v/>
      </c>
      <c r="F37" s="27" t="str">
        <f t="shared" si="11"/>
        <v/>
      </c>
      <c r="G37" s="27" t="str">
        <f t="shared" si="11"/>
        <v/>
      </c>
      <c r="H37" s="27" t="str">
        <f t="shared" si="11"/>
        <v/>
      </c>
      <c r="I37" s="27" t="str">
        <f t="shared" si="11"/>
        <v/>
      </c>
      <c r="J37" s="27" t="str">
        <f t="shared" si="11"/>
        <v/>
      </c>
      <c r="K37" s="28" t="str">
        <f t="shared" si="11"/>
        <v/>
      </c>
    </row>
    <row r="38" spans="1:11" ht="13.15" customHeight="1">
      <c r="A38" s="24" t="s">
        <v>1363</v>
      </c>
      <c r="B38" s="27" t="str">
        <f>IF(OR(B27=0,AND(B23=0,B24=0,B25=0,B26=0,B27=0)),"",-B22/(B23+B24+B25+B26+B27))</f>
        <v/>
      </c>
      <c r="C38" s="27" t="str">
        <f t="shared" ref="C38:K38" si="12">IF(OR(C27=0,AND(C23=0,C24=0,C25=0,C26=0,C27=0)),"",-C22/(C23+C24+C25+C26+C27))</f>
        <v/>
      </c>
      <c r="D38" s="27" t="str">
        <f t="shared" si="12"/>
        <v/>
      </c>
      <c r="E38" s="27" t="str">
        <f t="shared" si="12"/>
        <v/>
      </c>
      <c r="F38" s="27" t="str">
        <f t="shared" si="12"/>
        <v/>
      </c>
      <c r="G38" s="27" t="str">
        <f t="shared" si="12"/>
        <v/>
      </c>
      <c r="H38" s="27" t="str">
        <f t="shared" si="12"/>
        <v/>
      </c>
      <c r="I38" s="27" t="str">
        <f t="shared" si="12"/>
        <v/>
      </c>
      <c r="J38" s="27" t="str">
        <f t="shared" si="12"/>
        <v/>
      </c>
      <c r="K38" s="28" t="str">
        <f t="shared" si="12"/>
        <v/>
      </c>
    </row>
    <row r="39" spans="1:11" ht="13.15" customHeight="1">
      <c r="A39" s="24" t="s">
        <v>1363</v>
      </c>
      <c r="B39" s="27" t="str">
        <f>IF(OR(B28=0,AND(B23=0,B24=0,B25=0,B26=0,B27=0,B28=0)),"",-B22/(B23+B24+B25+B26+B27+B28))</f>
        <v/>
      </c>
      <c r="C39" s="27" t="str">
        <f t="shared" ref="C39:K39" si="13">IF(OR(C28=0,AND(C23=0,C24=0,C25=0,C26=0,C27=0,C28=0)),"",-C22/(C23+C24+C25+C26+C27+C28))</f>
        <v/>
      </c>
      <c r="D39" s="27" t="str">
        <f t="shared" si="13"/>
        <v/>
      </c>
      <c r="E39" s="27" t="str">
        <f t="shared" si="13"/>
        <v/>
      </c>
      <c r="F39" s="27" t="str">
        <f t="shared" si="13"/>
        <v/>
      </c>
      <c r="G39" s="27" t="str">
        <f t="shared" si="13"/>
        <v/>
      </c>
      <c r="H39" s="27" t="str">
        <f t="shared" si="13"/>
        <v/>
      </c>
      <c r="I39" s="27" t="str">
        <f t="shared" si="13"/>
        <v/>
      </c>
      <c r="J39" s="27" t="str">
        <f t="shared" si="13"/>
        <v/>
      </c>
      <c r="K39" s="28" t="str">
        <f t="shared" si="13"/>
        <v/>
      </c>
    </row>
    <row r="40" spans="1:11" ht="13.15" customHeight="1">
      <c r="A40" s="24" t="s">
        <v>1345</v>
      </c>
      <c r="B40" s="379">
        <f>IF(OR(B20="Choose mgt fee",B20="Choose One!"),"",(B14+B15+B16+B17+B18) / -(B19+B20+B21))</f>
        <v>1.2544430254598331</v>
      </c>
      <c r="C40" s="379">
        <f t="shared" ref="C40:K40" si="14">IF(OR(C20="Choose mgt fee",C20="Choose One!"),"",(C14+C15+C16+C17+C18) / -(C19+C20+C21))</f>
        <v>1.2431713195836112</v>
      </c>
      <c r="D40" s="379">
        <f t="shared" si="14"/>
        <v>1.2319931873365499</v>
      </c>
      <c r="E40" s="379">
        <f t="shared" si="14"/>
        <v>1.2209086370455093</v>
      </c>
      <c r="F40" s="379">
        <f t="shared" si="14"/>
        <v>1.2099175942139742</v>
      </c>
      <c r="G40" s="379">
        <f t="shared" si="14"/>
        <v>1.1990137165809251</v>
      </c>
      <c r="H40" s="379">
        <f t="shared" si="14"/>
        <v>1.1882034370581001</v>
      </c>
      <c r="I40" s="379">
        <f t="shared" si="14"/>
        <v>1.1774835773039878</v>
      </c>
      <c r="J40" s="379">
        <f t="shared" si="14"/>
        <v>1.1668513299934744</v>
      </c>
      <c r="K40" s="380">
        <f t="shared" si="14"/>
        <v>1.1563095447298626</v>
      </c>
    </row>
    <row r="41" spans="1:11" ht="13.15" customHeight="1">
      <c r="A41" s="24" t="str">
        <f>IF('Part III A-Sources of Funds'!$E$32 = "Neither", "", "Mortgage A Balance")</f>
        <v/>
      </c>
      <c r="B41" s="827">
        <f>IF('Part III A-Sources of Funds'!$H$32="","",-FV('Part III A-Sources of Funds'!$J$32/12,12,B23/12,'Part III A-Sources of Funds'!H32))</f>
        <v>0</v>
      </c>
      <c r="C41" s="827">
        <f>IF('Part III A-Sources of Funds'!$H$32="","",-FV('Part III A-Sources of Funds'!$J$32/12,12,C23/12,B41))</f>
        <v>0</v>
      </c>
      <c r="D41" s="827">
        <f>IF('Part III A-Sources of Funds'!$H$32="","",-FV('Part III A-Sources of Funds'!$J$32/12,12,D23/12,C41))</f>
        <v>0</v>
      </c>
      <c r="E41" s="827">
        <f>IF('Part III A-Sources of Funds'!$H$32="","",-FV('Part III A-Sources of Funds'!$J$32/12,12,E23/12,D41))</f>
        <v>0</v>
      </c>
      <c r="F41" s="827">
        <f>IF('Part III A-Sources of Funds'!$H$32="","",-FV('Part III A-Sources of Funds'!$J$32/12,12,F23/12,E41))</f>
        <v>0</v>
      </c>
      <c r="G41" s="827">
        <f>IF('Part III A-Sources of Funds'!$H$32="","",-FV('Part III A-Sources of Funds'!$J$32/12,12,G23/12,F41))</f>
        <v>0</v>
      </c>
      <c r="H41" s="827">
        <f>IF('Part III A-Sources of Funds'!$H$32="","",-FV('Part III A-Sources of Funds'!$J$32/12,12,H23/12,G41))</f>
        <v>0</v>
      </c>
      <c r="I41" s="827">
        <f>IF('Part III A-Sources of Funds'!$H$32="","",-FV('Part III A-Sources of Funds'!$J$32/12,12,I23/12,H41))</f>
        <v>0</v>
      </c>
      <c r="J41" s="827">
        <f>IF('Part III A-Sources of Funds'!$H$32="","",-FV('Part III A-Sources of Funds'!$J$32/12,12,J23/12,I41))</f>
        <v>0</v>
      </c>
      <c r="K41" s="827">
        <f>IF('Part III A-Sources of Funds'!$H$32="","",-FV('Part III A-Sources of Funds'!$J$32/12,12,K23/12,J41))</f>
        <v>0</v>
      </c>
    </row>
    <row r="42" spans="1:11" ht="13.15" customHeight="1">
      <c r="A42" s="24" t="str">
        <f>IF('Part III A-Sources of Funds'!$E$32 = "Neither", "Mortgage A Balance", "Mortgage B Balance")</f>
        <v>Mortgage A Balance</v>
      </c>
      <c r="B42" s="824">
        <f>IF('Part III A-Sources of Funds'!$H$33="","",-FV('Part III A-Sources of Funds'!$J$33/12,12,B25/12,'Part III A-Sources of Funds'!H33))</f>
        <v>455429.65999421204</v>
      </c>
      <c r="C42" s="824">
        <f>IF('Part III A-Sources of Funds'!$H$33="","",-FV('Part III A-Sources of Funds'!$J$33/12,12,C25/12,B42))</f>
        <v>409732.20486245712</v>
      </c>
      <c r="D42" s="824">
        <f>IF('Part III A-Sources of Funds'!$H$33="","",-FV('Part III A-Sources of Funds'!$J$33/12,12,D25/12,C42))</f>
        <v>362879.13160235697</v>
      </c>
      <c r="E42" s="824">
        <f>IF('Part III A-Sources of Funds'!$H$33="","",-FV('Part III A-Sources of Funds'!$J$33/12,12,E25/12,D42))</f>
        <v>314841.21641458379</v>
      </c>
      <c r="F42" s="824">
        <f>IF('Part III A-Sources of Funds'!$H$33="","",-FV('Part III A-Sources of Funds'!$J$33/12,12,F25/12,E42))</f>
        <v>265588.49647501769</v>
      </c>
      <c r="G42" s="824">
        <f>IF('Part III A-Sources of Funds'!$H$33="","",-FV('Part III A-Sources of Funds'!$J$33/12,12,G25/12,F42))</f>
        <v>215090.25124594982</v>
      </c>
      <c r="H42" s="824">
        <f>IF('Part III A-Sources of Funds'!$H$33="","",-FV('Part III A-Sources of Funds'!$J$33/12,12,H25/12,G42))</f>
        <v>163314.98331467505</v>
      </c>
      <c r="I42" s="824">
        <f>IF('Part III A-Sources of Funds'!$H$33="","",-FV('Part III A-Sources of Funds'!$J$33/12,12,I25/12,H42))</f>
        <v>110230.39874752189</v>
      </c>
      <c r="J42" s="824">
        <f>IF('Part III A-Sources of Funds'!$H$33="","",-FV('Part III A-Sources of Funds'!$J$33/12,12,J25/12,I42))</f>
        <v>55803.386947066429</v>
      </c>
      <c r="K42" s="824">
        <f>IF('Part III A-Sources of Funds'!$H$33="","",-FV('Part III A-Sources of Funds'!$J$33/12,12,K25/12,J42))</f>
        <v>-3.3876858651638031E-8</v>
      </c>
    </row>
    <row r="43" spans="1:11" ht="13.15" customHeight="1">
      <c r="A43" s="24" t="str">
        <f>IF('Part III A-Sources of Funds'!$E$32 = "Neither", "Mortgage B Balance", "Mortgage C Balance")</f>
        <v>Mortgage B Balance</v>
      </c>
      <c r="B43" s="824" t="str">
        <f>IF('Part III A-Sources of Funds'!$H$34="","",-FV('Part III A-Sources of Funds'!$J$34/12,12,B26/12,'Part III A-Sources of Funds'!H34))</f>
        <v/>
      </c>
      <c r="C43" s="824" t="str">
        <f>IF('Part III A-Sources of Funds'!$H$34="","",-FV('Part III A-Sources of Funds'!$J$34/12,12,C26/12,B43))</f>
        <v/>
      </c>
      <c r="D43" s="824" t="str">
        <f>IF('Part III A-Sources of Funds'!$H$34="","",-FV('Part III A-Sources of Funds'!$J$34/12,12,D26/12,C43))</f>
        <v/>
      </c>
      <c r="E43" s="824" t="str">
        <f>IF('Part III A-Sources of Funds'!$H$34="","",-FV('Part III A-Sources of Funds'!$J$34/12,12,E26/12,D43))</f>
        <v/>
      </c>
      <c r="F43" s="824" t="str">
        <f>IF('Part III A-Sources of Funds'!$H$34="","",-FV('Part III A-Sources of Funds'!$J$34/12,12,F26/12,E43))</f>
        <v/>
      </c>
      <c r="G43" s="824" t="str">
        <f>IF('Part III A-Sources of Funds'!$H$34="","",-FV('Part III A-Sources of Funds'!$J$34/12,12,G26/12,F43))</f>
        <v/>
      </c>
      <c r="H43" s="824" t="str">
        <f>IF('Part III A-Sources of Funds'!$H$34="","",-FV('Part III A-Sources of Funds'!$J$34/12,12,H26/12,G43))</f>
        <v/>
      </c>
      <c r="I43" s="824" t="str">
        <f>IF('Part III A-Sources of Funds'!$H$34="","",-FV('Part III A-Sources of Funds'!$J$34/12,12,I26/12,H43))</f>
        <v/>
      </c>
      <c r="J43" s="824" t="str">
        <f>IF('Part III A-Sources of Funds'!$H$34="","",-FV('Part III A-Sources of Funds'!$J$34/12,12,J26/12,I43))</f>
        <v/>
      </c>
      <c r="K43" s="824" t="str">
        <f>IF('Part III A-Sources of Funds'!$H$34="","",-FV('Part III A-Sources of Funds'!$J$34/12,12,K26/12,J43))</f>
        <v/>
      </c>
    </row>
    <row r="44" spans="1:11" ht="13.15" customHeight="1">
      <c r="A44" s="24" t="s">
        <v>1364</v>
      </c>
      <c r="B44" s="824" t="str">
        <f>IF('Part III A-Sources of Funds'!$H$35="","",-FV('Part III A-Sources of Funds'!$J$35/12,12,B27/12,'Part III A-Sources of Funds'!H35))</f>
        <v/>
      </c>
      <c r="C44" s="824" t="str">
        <f>IF('Part III A-Sources of Funds'!$H$35="","",-FV('Part III A-Sources of Funds'!$J$35/12,12,C27/12,B44))</f>
        <v/>
      </c>
      <c r="D44" s="824" t="str">
        <f>IF('Part III A-Sources of Funds'!$H$35="","",-FV('Part III A-Sources of Funds'!$J$35/12,12,D27/12,C44))</f>
        <v/>
      </c>
      <c r="E44" s="824" t="str">
        <f>IF('Part III A-Sources of Funds'!$H$35="","",-FV('Part III A-Sources of Funds'!$J$35/12,12,E27/12,D44))</f>
        <v/>
      </c>
      <c r="F44" s="824" t="str">
        <f>IF('Part III A-Sources of Funds'!$H$35="","",-FV('Part III A-Sources of Funds'!$J$35/12,12,F27/12,E44))</f>
        <v/>
      </c>
      <c r="G44" s="824" t="str">
        <f>IF('Part III A-Sources of Funds'!$H$35="","",-FV('Part III A-Sources of Funds'!$J$35/12,12,G27/12,F44))</f>
        <v/>
      </c>
      <c r="H44" s="824" t="str">
        <f>IF('Part III A-Sources of Funds'!$H$35="","",-FV('Part III A-Sources of Funds'!$J$35/12,12,H27/12,G44))</f>
        <v/>
      </c>
      <c r="I44" s="824" t="str">
        <f>IF('Part III A-Sources of Funds'!$H$35="","",-FV('Part III A-Sources of Funds'!$J$35/12,12,I27/12,H44))</f>
        <v/>
      </c>
      <c r="J44" s="824" t="str">
        <f>IF('Part III A-Sources of Funds'!$H$35="","",-FV('Part III A-Sources of Funds'!$J$35/12,12,J27/12,I44))</f>
        <v/>
      </c>
      <c r="K44" s="824" t="str">
        <f>IF('Part III A-Sources of Funds'!$H$35="","",-FV('Part III A-Sources of Funds'!$J$35/12,12,K27/12,J44))</f>
        <v/>
      </c>
    </row>
    <row r="45" spans="1:11" ht="13.15" customHeight="1">
      <c r="A45" s="24" t="s">
        <v>1364</v>
      </c>
      <c r="B45" s="824" t="str">
        <f>IF('Part III A-Sources of Funds'!$H$36="","",-FV('Part III A-Sources of Funds'!$J$36/12,12,B28/12,'Part III A-Sources of Funds'!$H$36))</f>
        <v/>
      </c>
      <c r="C45" s="824" t="str">
        <f>IF('Part III A-Sources of Funds'!$H$36="","",-FV('Part III A-Sources of Funds'!$J$36/12,12,C28/12,B45))</f>
        <v/>
      </c>
      <c r="D45" s="824" t="str">
        <f>IF('Part III A-Sources of Funds'!$H$36="","",-FV('Part III A-Sources of Funds'!$J$36/12,12,D28/12,C45))</f>
        <v/>
      </c>
      <c r="E45" s="824" t="str">
        <f>IF('Part III A-Sources of Funds'!$H$36="","",-FV('Part III A-Sources of Funds'!$J$36/12,12,E28/12,D45))</f>
        <v/>
      </c>
      <c r="F45" s="824" t="str">
        <f>IF('Part III A-Sources of Funds'!$H$36="","",-FV('Part III A-Sources of Funds'!$J$36/12,12,F28/12,E45))</f>
        <v/>
      </c>
      <c r="G45" s="824" t="str">
        <f>IF('Part III A-Sources of Funds'!$H$36="","",-FV('Part III A-Sources of Funds'!$J$36/12,12,G28/12,F45))</f>
        <v/>
      </c>
      <c r="H45" s="824" t="str">
        <f>IF('Part III A-Sources of Funds'!$H$36="","",-FV('Part III A-Sources of Funds'!$J$36/12,12,H28/12,G45))</f>
        <v/>
      </c>
      <c r="I45" s="824" t="str">
        <f>IF('Part III A-Sources of Funds'!$H$36="","",-FV('Part III A-Sources of Funds'!$J$36/12,12,I28/12,H45))</f>
        <v/>
      </c>
      <c r="J45" s="824" t="str">
        <f>IF('Part III A-Sources of Funds'!$H$36="","",-FV('Part III A-Sources of Funds'!$J$36/12,12,J28/12,I45))</f>
        <v/>
      </c>
      <c r="K45" s="824" t="str">
        <f>IF('Part III A-Sources of Funds'!$H$36="","",-FV('Part III A-Sources of Funds'!$J$36/12,12,K28/12,J45))</f>
        <v/>
      </c>
    </row>
    <row r="46" spans="1:11" ht="13.15" customHeight="1">
      <c r="A46" s="29" t="s">
        <v>1899</v>
      </c>
      <c r="B46" s="828">
        <f>IF('Part III A-Sources of Funds'!$H$37="","",-FV('Part III A-Sources of Funds'!$J$37/12,12,B31/12,'Part III A-Sources of Funds'!H37))</f>
        <v>-0.23950107651478447</v>
      </c>
      <c r="C46" s="828">
        <f>IF('Part III A-Sources of Funds'!$H$37="","",-FV('Part III A-Sources of Funds'!$J$37/12,12,C31/12,B46))</f>
        <v>-0.2493829635872335</v>
      </c>
      <c r="D46" s="828">
        <f>IF('Part III A-Sources of Funds'!$H$37="","",-FV('Part III A-Sources of Funds'!$J$37/12,12,D31/12,C46))</f>
        <v>-0.25967258031807761</v>
      </c>
      <c r="E46" s="828">
        <f>IF('Part III A-Sources of Funds'!$H$37="","",-FV('Part III A-Sources of Funds'!$J$37/12,12,E31/12,D46))</f>
        <v>-0.27038674975671179</v>
      </c>
      <c r="F46" s="828">
        <f>IF('Part III A-Sources of Funds'!$H$37="","",-FV('Part III A-Sources of Funds'!$J$37/12,12,F31/12,E46))</f>
        <v>-0.28154298907665243</v>
      </c>
      <c r="G46" s="828">
        <f>IF('Part III A-Sources of Funds'!$H$37="","",-FV('Part III A-Sources of Funds'!$J$37/12,12,G31/12,F46))</f>
        <v>-0.29315953821530932</v>
      </c>
      <c r="H46" s="828">
        <f>IF('Part III A-Sources of Funds'!$H$37="","",-FV('Part III A-Sources of Funds'!$J$37/12,12,H31/12,G46))</f>
        <v>-0.30525538969544308</v>
      </c>
      <c r="I46" s="828">
        <f>IF('Part III A-Sources of Funds'!$H$37="","",-FV('Part III A-Sources of Funds'!$J$37/12,12,I31/12,H46))</f>
        <v>-0.31785031967706501</v>
      </c>
      <c r="J46" s="828">
        <f>IF('Part III A-Sources of Funds'!$H$37="","",-FV('Part III A-Sources of Funds'!$J$37/12,12,J31/12,I46))</f>
        <v>-0.33096492029054775</v>
      </c>
      <c r="K46" s="828">
        <f>IF('Part III A-Sources of Funds'!$H$37="","",-FV('Part III A-Sources of Funds'!$J$37/12,12,K31/12,J46))</f>
        <v>-0.3446206333038101</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5">B48+1</f>
        <v>12</v>
      </c>
      <c r="D48" s="18">
        <f t="shared" si="15"/>
        <v>13</v>
      </c>
      <c r="E48" s="18">
        <f t="shared" si="15"/>
        <v>14</v>
      </c>
      <c r="F48" s="18">
        <f t="shared" si="15"/>
        <v>15</v>
      </c>
      <c r="G48" s="18">
        <f t="shared" si="15"/>
        <v>16</v>
      </c>
      <c r="H48" s="18">
        <f t="shared" si="15"/>
        <v>17</v>
      </c>
      <c r="I48" s="18">
        <f t="shared" si="15"/>
        <v>18</v>
      </c>
      <c r="J48" s="18">
        <f t="shared" si="15"/>
        <v>19</v>
      </c>
      <c r="K48" s="18">
        <f t="shared" si="15"/>
        <v>20</v>
      </c>
    </row>
    <row r="49" spans="1:11" ht="13.15" customHeight="1">
      <c r="A49" s="21" t="s">
        <v>3643</v>
      </c>
      <c r="B49" s="22">
        <f t="shared" ref="B49:K49" si="16">$B$14*(1+$B$5)^(B48-1)</f>
        <v>540472.86995959538</v>
      </c>
      <c r="C49" s="22">
        <f t="shared" si="16"/>
        <v>551282.32735878718</v>
      </c>
      <c r="D49" s="22">
        <f t="shared" si="16"/>
        <v>562307.97390596312</v>
      </c>
      <c r="E49" s="22">
        <f t="shared" si="16"/>
        <v>573554.13338408235</v>
      </c>
      <c r="F49" s="22">
        <f t="shared" si="16"/>
        <v>585025.21605176397</v>
      </c>
      <c r="G49" s="22">
        <f t="shared" si="16"/>
        <v>596725.72037279909</v>
      </c>
      <c r="H49" s="22">
        <f t="shared" si="16"/>
        <v>608660.23478025524</v>
      </c>
      <c r="I49" s="22">
        <f t="shared" si="16"/>
        <v>620833.43947586033</v>
      </c>
      <c r="J49" s="22">
        <f t="shared" si="16"/>
        <v>633250.10826537746</v>
      </c>
      <c r="K49" s="23">
        <f t="shared" si="16"/>
        <v>645915.11043068499</v>
      </c>
    </row>
    <row r="50" spans="1:11" ht="13.15" customHeight="1">
      <c r="A50" s="24" t="s">
        <v>1632</v>
      </c>
      <c r="B50" s="25">
        <f t="shared" ref="B50:K50" si="17">$B$15*(1+$B$5)^(B48-1)</f>
        <v>10809.45739919191</v>
      </c>
      <c r="C50" s="25">
        <f t="shared" si="17"/>
        <v>11025.646547175746</v>
      </c>
      <c r="D50" s="25">
        <f t="shared" si="17"/>
        <v>11246.159478119262</v>
      </c>
      <c r="E50" s="25">
        <f t="shared" si="17"/>
        <v>11471.082667681647</v>
      </c>
      <c r="F50" s="25">
        <f t="shared" si="17"/>
        <v>11700.504321035281</v>
      </c>
      <c r="G50" s="25">
        <f t="shared" si="17"/>
        <v>11934.514407455983</v>
      </c>
      <c r="H50" s="25">
        <f t="shared" si="17"/>
        <v>12173.204695605105</v>
      </c>
      <c r="I50" s="25">
        <f t="shared" si="17"/>
        <v>12416.668789517207</v>
      </c>
      <c r="J50" s="25">
        <f t="shared" si="17"/>
        <v>12665.002165307551</v>
      </c>
      <c r="K50" s="26">
        <f t="shared" si="17"/>
        <v>12918.302208613701</v>
      </c>
    </row>
    <row r="51" spans="1:11" ht="13.15" customHeight="1">
      <c r="A51" s="24" t="s">
        <v>3644</v>
      </c>
      <c r="B51" s="25">
        <f t="shared" ref="B51:K51" si="18">-(B49+B50)*$B$8</f>
        <v>-38589.762915115112</v>
      </c>
      <c r="C51" s="25">
        <f t="shared" si="18"/>
        <v>-39361.558173417405</v>
      </c>
      <c r="D51" s="25">
        <f t="shared" si="18"/>
        <v>-40148.789336885769</v>
      </c>
      <c r="E51" s="25">
        <f t="shared" si="18"/>
        <v>-40951.765123623481</v>
      </c>
      <c r="F51" s="25">
        <f t="shared" si="18"/>
        <v>-41770.80042609595</v>
      </c>
      <c r="G51" s="25">
        <f t="shared" si="18"/>
        <v>-42606.216434617862</v>
      </c>
      <c r="H51" s="25">
        <f t="shared" si="18"/>
        <v>-43458.340763310225</v>
      </c>
      <c r="I51" s="25">
        <f t="shared" si="18"/>
        <v>-44327.507578576435</v>
      </c>
      <c r="J51" s="25">
        <f t="shared" si="18"/>
        <v>-45214.057730147957</v>
      </c>
      <c r="K51" s="26">
        <f t="shared" si="18"/>
        <v>-46118.338884750912</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19">$B$19*(1+$B$6)^(B48-1)</f>
        <v>-388448.8987937278</v>
      </c>
      <c r="C54" s="25">
        <f t="shared" si="19"/>
        <v>-400102.36575753964</v>
      </c>
      <c r="D54" s="25">
        <f t="shared" si="19"/>
        <v>-412105.43673026573</v>
      </c>
      <c r="E54" s="25">
        <f t="shared" si="19"/>
        <v>-424468.59983217373</v>
      </c>
      <c r="F54" s="25">
        <f t="shared" si="19"/>
        <v>-437202.65782713896</v>
      </c>
      <c r="G54" s="25">
        <f t="shared" si="19"/>
        <v>-450318.73756195314</v>
      </c>
      <c r="H54" s="25">
        <f t="shared" si="19"/>
        <v>-463828.29968881165</v>
      </c>
      <c r="I54" s="25">
        <f t="shared" si="19"/>
        <v>-477743.148679476</v>
      </c>
      <c r="J54" s="25">
        <f t="shared" si="19"/>
        <v>-492075.44313986029</v>
      </c>
      <c r="K54" s="26">
        <f t="shared" si="19"/>
        <v>-506837.7064340561</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-30762</v>
      </c>
      <c r="C55" s="25">
        <f>IF(AND('Part VII-Pro Forma'!$G$8="Yes",'Part VII-Pro Forma'!$G$9="Yes"),"Choose One!",IF('Part VII-Pro Forma'!$G$8="Yes",ROUND((-$K$8*(1+'Part VII-Pro Forma'!$B$6)^('Part VII-Pro Forma'!C48-1)),),IF('Part VII-Pro Forma'!$G$9="Yes",ROUND((-(SUM(C49:C52)*'Part VII-Pro Forma'!$K$9)),),"Choose mgt fee")))</f>
        <v>-31377</v>
      </c>
      <c r="D55" s="25">
        <f>IF(AND('Part VII-Pro Forma'!$G$8="Yes",'Part VII-Pro Forma'!$G$9="Yes"),"Choose One!",IF('Part VII-Pro Forma'!$G$8="Yes",ROUND((-$K$8*(1+'Part VII-Pro Forma'!$B$6)^('Part VII-Pro Forma'!D48-1)),),IF('Part VII-Pro Forma'!$G$9="Yes",ROUND((-(SUM(D49:D52)*'Part VII-Pro Forma'!$K$9)),),"Choose mgt fee")))</f>
        <v>-32004</v>
      </c>
      <c r="E55" s="25">
        <f>IF(AND('Part VII-Pro Forma'!$G$8="Yes",'Part VII-Pro Forma'!$G$9="Yes"),"Choose One!",IF('Part VII-Pro Forma'!$G$8="Yes",ROUND((-$K$8*(1+'Part VII-Pro Forma'!$B$6)^('Part VII-Pro Forma'!E48-1)),),IF('Part VII-Pro Forma'!$G$9="Yes",ROUND((-(SUM(E49:E52)*'Part VII-Pro Forma'!$K$9)),),"Choose mgt fee")))</f>
        <v>-32644</v>
      </c>
      <c r="F55" s="25">
        <f>IF(AND('Part VII-Pro Forma'!$G$8="Yes",'Part VII-Pro Forma'!$G$9="Yes"),"Choose One!",IF('Part VII-Pro Forma'!$G$8="Yes",ROUND((-$K$8*(1+'Part VII-Pro Forma'!$B$6)^('Part VII-Pro Forma'!F48-1)),),IF('Part VII-Pro Forma'!$G$9="Yes",ROUND((-(SUM(F49:F52)*'Part VII-Pro Forma'!$K$9)),),"Choose mgt fee")))</f>
        <v>-33297</v>
      </c>
      <c r="G55" s="25">
        <f>IF(AND('Part VII-Pro Forma'!$G$8="Yes",'Part VII-Pro Forma'!$G$9="Yes"),"Choose One!",IF('Part VII-Pro Forma'!$G$8="Yes",ROUND((-$K$8*(1+'Part VII-Pro Forma'!$B$6)^('Part VII-Pro Forma'!G48-1)),),IF('Part VII-Pro Forma'!$G$9="Yes",ROUND((-(SUM(G49:G52)*'Part VII-Pro Forma'!$K$9)),),"Choose mgt fee")))</f>
        <v>-33963</v>
      </c>
      <c r="H55" s="25">
        <f>IF(AND('Part VII-Pro Forma'!$G$8="Yes",'Part VII-Pro Forma'!$G$9="Yes"),"Choose One!",IF('Part VII-Pro Forma'!$G$8="Yes",ROUND((-$K$8*(1+'Part VII-Pro Forma'!$B$6)^('Part VII-Pro Forma'!H48-1)),),IF('Part VII-Pro Forma'!$G$9="Yes",ROUND((-(SUM(H49:H52)*'Part VII-Pro Forma'!$K$9)),),"Choose mgt fee")))</f>
        <v>-34643</v>
      </c>
      <c r="I55" s="25">
        <f>IF(AND('Part VII-Pro Forma'!$G$8="Yes",'Part VII-Pro Forma'!$G$9="Yes"),"Choose One!",IF('Part VII-Pro Forma'!$G$8="Yes",ROUND((-$K$8*(1+'Part VII-Pro Forma'!$B$6)^('Part VII-Pro Forma'!I48-1)),),IF('Part VII-Pro Forma'!$G$9="Yes",ROUND((-(SUM(I49:I52)*'Part VII-Pro Forma'!$K$9)),),"Choose mgt fee")))</f>
        <v>-35335</v>
      </c>
      <c r="J55" s="25">
        <f>IF(AND('Part VII-Pro Forma'!$G$8="Yes",'Part VII-Pro Forma'!$G$9="Yes"),"Choose One!",IF('Part VII-Pro Forma'!$G$8="Yes",ROUND((-$K$8*(1+'Part VII-Pro Forma'!$B$6)^('Part VII-Pro Forma'!J48-1)),),IF('Part VII-Pro Forma'!$G$9="Yes",ROUND((-(SUM(J49:J52)*'Part VII-Pro Forma'!$K$9)),),"Choose mgt fee")))</f>
        <v>-36042</v>
      </c>
      <c r="K55" s="25">
        <f>IF(AND('Part VII-Pro Forma'!$G$8="Yes",'Part VII-Pro Forma'!$G$9="Yes"),"Choose One!",IF('Part VII-Pro Forma'!$G$8="Yes",ROUND((-$K$8*(1+'Part VII-Pro Forma'!$B$6)^('Part VII-Pro Forma'!K48-1)),),IF('Part VII-Pro Forma'!$G$9="Yes",ROUND((-(SUM(K49:K52)*'Part VII-Pro Forma'!$K$9)),),"Choose mgt fee")))</f>
        <v>-36763</v>
      </c>
    </row>
    <row r="56" spans="1:11" ht="13.15" customHeight="1">
      <c r="A56" s="24" t="s">
        <v>1862</v>
      </c>
      <c r="B56" s="25">
        <f t="shared" ref="B56:K56" si="20">$B$21*(1+$B$7)^(B48-1)</f>
        <v>-28222.243966226557</v>
      </c>
      <c r="C56" s="25">
        <f t="shared" si="20"/>
        <v>-29068.911285213355</v>
      </c>
      <c r="D56" s="25">
        <f t="shared" si="20"/>
        <v>-29940.978623769752</v>
      </c>
      <c r="E56" s="25">
        <f t="shared" si="20"/>
        <v>-30839.207982482843</v>
      </c>
      <c r="F56" s="25">
        <f t="shared" si="20"/>
        <v>-31764.384221957331</v>
      </c>
      <c r="G56" s="25">
        <f t="shared" si="20"/>
        <v>-32717.315748616053</v>
      </c>
      <c r="H56" s="25">
        <f t="shared" si="20"/>
        <v>-33698.835221074529</v>
      </c>
      <c r="I56" s="25">
        <f t="shared" si="20"/>
        <v>-34709.800277706767</v>
      </c>
      <c r="J56" s="25">
        <f t="shared" si="20"/>
        <v>-35751.094286037966</v>
      </c>
      <c r="K56" s="26">
        <f t="shared" si="20"/>
        <v>-36823.627114619107</v>
      </c>
    </row>
    <row r="57" spans="1:11" ht="13.15" customHeight="1">
      <c r="A57" s="24" t="s">
        <v>1863</v>
      </c>
      <c r="B57" s="25">
        <f t="shared" ref="B57:K57" si="21">SUM(B49:B56)</f>
        <v>65259.421683717839</v>
      </c>
      <c r="C57" s="25">
        <f t="shared" si="21"/>
        <v>62398.138689792497</v>
      </c>
      <c r="D57" s="25">
        <f t="shared" si="21"/>
        <v>59354.92869316107</v>
      </c>
      <c r="E57" s="25">
        <f t="shared" si="21"/>
        <v>56121.643113483864</v>
      </c>
      <c r="F57" s="25">
        <f t="shared" si="21"/>
        <v>52690.877897606959</v>
      </c>
      <c r="G57" s="25">
        <f t="shared" si="21"/>
        <v>49054.96503506806</v>
      </c>
      <c r="H57" s="25">
        <f t="shared" si="21"/>
        <v>45204.963802663951</v>
      </c>
      <c r="I57" s="25">
        <f t="shared" si="21"/>
        <v>41134.651729618367</v>
      </c>
      <c r="J57" s="25">
        <f t="shared" si="21"/>
        <v>36832.515274638768</v>
      </c>
      <c r="K57" s="26">
        <f t="shared" si="21"/>
        <v>32290.740205872535</v>
      </c>
    </row>
    <row r="58" spans="1:11" ht="13.15" customHeight="1">
      <c r="A58" s="24" t="str">
        <f t="shared" ref="A58:A63" si="22">$A23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2"/>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2"/>
        <v>D/S Mortgage A</v>
      </c>
      <c r="B60" s="824"/>
      <c r="C60" s="824"/>
      <c r="D60" s="824"/>
      <c r="E60" s="824"/>
      <c r="F60" s="824"/>
      <c r="G60" s="824"/>
      <c r="H60" s="824"/>
      <c r="I60" s="824"/>
      <c r="J60" s="824"/>
      <c r="K60" s="824"/>
    </row>
    <row r="61" spans="1:11" ht="13.15" customHeight="1">
      <c r="A61" s="24" t="str">
        <f t="shared" si="22"/>
        <v>D/S Mortgage B</v>
      </c>
      <c r="B61" s="824">
        <f>IF('Part III A-Sources of Funds'!$M$34="", 0,-'Part III A-Sources of Funds'!$M$34)</f>
        <v>0</v>
      </c>
      <c r="C61" s="824">
        <f>IF('Part III A-Sources of Funds'!$M$34="", 0,-'Part III A-Sources of Funds'!$M$34)</f>
        <v>0</v>
      </c>
      <c r="D61" s="824">
        <f>IF('Part III A-Sources of Funds'!$M$34="", 0,-'Part III A-Sources of Funds'!$M$34)</f>
        <v>0</v>
      </c>
      <c r="E61" s="824">
        <f>IF('Part III A-Sources of Funds'!$M$34="", 0,-'Part III A-Sources of Funds'!$M$34)</f>
        <v>0</v>
      </c>
      <c r="F61" s="824">
        <f>IF('Part III A-Sources of Funds'!$M$34="", 0,-'Part III A-Sources of Funds'!$M$34)</f>
        <v>0</v>
      </c>
      <c r="G61" s="824">
        <f>IF('Part III A-Sources of Funds'!$M$34="", 0,-'Part III A-Sources of Funds'!$M$34)</f>
        <v>0</v>
      </c>
      <c r="H61" s="824">
        <f>IF('Part III A-Sources of Funds'!$M$34="", 0,-'Part III A-Sources of Funds'!$M$34)</f>
        <v>0</v>
      </c>
      <c r="I61" s="824">
        <f>IF('Part III A-Sources of Funds'!$M$34="", 0,-'Part III A-Sources of Funds'!$M$34)</f>
        <v>0</v>
      </c>
      <c r="J61" s="824">
        <f>IF('Part III A-Sources of Funds'!$M$34="", 0,-'Part III A-Sources of Funds'!$M$34)</f>
        <v>0</v>
      </c>
      <c r="K61" s="824">
        <f>IF('Part III A-Sources of Funds'!$M$34="", 0,-'Part III A-Sources of Funds'!$M$34)</f>
        <v>0</v>
      </c>
    </row>
    <row r="62" spans="1:11" ht="13.15" customHeight="1">
      <c r="A62" s="24" t="str">
        <f t="shared" si="22"/>
        <v>D/S Other Source</v>
      </c>
      <c r="B62" s="824">
        <f>IF('Part III A-Sources of Funds'!$M$35="", 0,-'Part III A-Sources of Funds'!$M$35)</f>
        <v>0</v>
      </c>
      <c r="C62" s="824">
        <f>IF('Part III A-Sources of Funds'!$M$35="", 0,-'Part III A-Sources of Funds'!$M$35)</f>
        <v>0</v>
      </c>
      <c r="D62" s="824">
        <f>IF('Part III A-Sources of Funds'!$M$35="", 0,-'Part III A-Sources of Funds'!$M$35)</f>
        <v>0</v>
      </c>
      <c r="E62" s="824">
        <f>IF('Part III A-Sources of Funds'!$M$35="", 0,-'Part III A-Sources of Funds'!$M$35)</f>
        <v>0</v>
      </c>
      <c r="F62" s="824">
        <f>IF('Part III A-Sources of Funds'!$M$35="", 0,-'Part III A-Sources of Funds'!$M$35)</f>
        <v>0</v>
      </c>
      <c r="G62" s="824">
        <f>IF('Part III A-Sources of Funds'!$M$35="", 0,-'Part III A-Sources of Funds'!$M$35)</f>
        <v>0</v>
      </c>
      <c r="H62" s="824">
        <f>IF('Part III A-Sources of Funds'!$M$35="", 0,-'Part III A-Sources of Funds'!$M$35)</f>
        <v>0</v>
      </c>
      <c r="I62" s="824">
        <f>IF('Part III A-Sources of Funds'!$M$35="", 0,-'Part III A-Sources of Funds'!$M$35)</f>
        <v>0</v>
      </c>
      <c r="J62" s="824">
        <f>IF('Part III A-Sources of Funds'!$M$35="", 0,-'Part III A-Sources of Funds'!$M$35)</f>
        <v>0</v>
      </c>
      <c r="K62" s="824">
        <f>IF('Part III A-Sources of Funds'!$M$35="", 0,-'Part III A-Sources of Funds'!$M$35)</f>
        <v>0</v>
      </c>
    </row>
    <row r="63" spans="1:11" ht="13.15" customHeight="1">
      <c r="A63" s="24" t="str">
        <f t="shared" si="22"/>
        <v>D/S Grant from fdn / charity</v>
      </c>
      <c r="B63" s="824">
        <f>IF('Part III A-Sources of Funds'!$M$36="", 0,-'Part III A-Sources of Funds'!$M$36)</f>
        <v>0</v>
      </c>
      <c r="C63" s="824">
        <f>IF('Part III A-Sources of Funds'!$M$36="", 0,-'Part III A-Sources of Funds'!$M$36)</f>
        <v>0</v>
      </c>
      <c r="D63" s="824">
        <f>IF('Part III A-Sources of Funds'!$M$36="", 0,-'Part III A-Sources of Funds'!$M$36)</f>
        <v>0</v>
      </c>
      <c r="E63" s="824">
        <f>IF('Part III A-Sources of Funds'!$M$36="", 0,-'Part III A-Sources of Funds'!$M$36)</f>
        <v>0</v>
      </c>
      <c r="F63" s="824">
        <f>IF('Part III A-Sources of Funds'!$M$36="", 0,-'Part III A-Sources of Funds'!$M$36)</f>
        <v>0</v>
      </c>
      <c r="G63" s="824">
        <f>IF('Part III A-Sources of Funds'!$M$36="", 0,-'Part III A-Sources of Funds'!$M$36)</f>
        <v>0</v>
      </c>
      <c r="H63" s="824">
        <f>IF('Part III A-Sources of Funds'!$M$36="", 0,-'Part III A-Sources of Funds'!$M$36)</f>
        <v>0</v>
      </c>
      <c r="I63" s="824">
        <f>IF('Part III A-Sources of Funds'!$M$36="", 0,-'Part III A-Sources of Funds'!$M$36)</f>
        <v>0</v>
      </c>
      <c r="J63" s="824">
        <f>IF('Part III A-Sources of Funds'!$M$36="", 0,-'Part III A-Sources of Funds'!$M$36)</f>
        <v>0</v>
      </c>
      <c r="K63" s="824">
        <f>IF('Part III A-Sources of Funds'!$M$36="", 0,-'Part III A-Sources of Funds'!$M$36)</f>
        <v>0</v>
      </c>
    </row>
    <row r="64" spans="1:11" ht="13.15" customHeight="1">
      <c r="A64" s="24" t="s">
        <v>1336</v>
      </c>
      <c r="B64" s="825"/>
      <c r="C64" s="825"/>
      <c r="D64" s="825"/>
      <c r="E64" s="825"/>
      <c r="F64" s="825"/>
      <c r="G64" s="825"/>
      <c r="H64" s="825"/>
      <c r="I64" s="825"/>
      <c r="J64" s="825"/>
      <c r="K64" s="825"/>
    </row>
    <row r="65" spans="1:11" ht="13.15" customHeight="1">
      <c r="A65" s="24" t="s">
        <v>1807</v>
      </c>
      <c r="B65" s="824">
        <v>-11079.075702744405</v>
      </c>
      <c r="C65" s="824">
        <v>-11193.190182482673</v>
      </c>
      <c r="D65" s="824">
        <v>-11308.480041362245</v>
      </c>
      <c r="E65" s="824">
        <v>-11424.957385788277</v>
      </c>
      <c r="F65" s="824">
        <v>-11542.634446861895</v>
      </c>
      <c r="G65" s="824">
        <v>-11661.523581664573</v>
      </c>
      <c r="H65" s="824">
        <v>-11781.637274555718</v>
      </c>
      <c r="I65" s="824">
        <v>-11902.988138483643</v>
      </c>
      <c r="J65" s="824">
        <v>-12025.588916310024</v>
      </c>
      <c r="K65" s="824">
        <v>-12149.452482148017</v>
      </c>
    </row>
    <row r="66" spans="1:11" ht="13.15" customHeight="1">
      <c r="A66" s="24" t="s">
        <v>1864</v>
      </c>
      <c r="B66" s="824">
        <v>0</v>
      </c>
      <c r="C66" s="824">
        <v>0.3588397851786197</v>
      </c>
      <c r="D66" s="824"/>
      <c r="E66" s="829"/>
      <c r="F66" s="824"/>
      <c r="G66" s="824"/>
      <c r="H66" s="824"/>
      <c r="I66" s="824"/>
      <c r="J66" s="824"/>
      <c r="K66" s="824"/>
    </row>
    <row r="67" spans="1:11" ht="13.15" customHeight="1">
      <c r="A67" s="24" t="s">
        <v>1808</v>
      </c>
      <c r="B67" s="826">
        <v>-43344.276784778747</v>
      </c>
      <c r="C67" s="826">
        <v>-40964.245877676003</v>
      </c>
      <c r="D67" s="826">
        <v>-38437.158921439062</v>
      </c>
      <c r="E67" s="826">
        <v>-35757.348582156468</v>
      </c>
      <c r="F67" s="826">
        <v>-32918.594760596054</v>
      </c>
      <c r="G67" s="826">
        <v>-29914.753162722791</v>
      </c>
      <c r="H67" s="826">
        <v>-26738.661222486589</v>
      </c>
      <c r="I67" s="826">
        <v>-23385.330872907783</v>
      </c>
      <c r="J67" s="826">
        <v>-19845.541086662997</v>
      </c>
      <c r="K67" s="826">
        <v>-16113.030178979616</v>
      </c>
    </row>
    <row r="68" spans="1:11" ht="13.15" customHeight="1">
      <c r="A68" s="24" t="s">
        <v>1809</v>
      </c>
      <c r="B68" s="25">
        <f t="shared" ref="B68:K68" si="23">SUM(B57:B67)</f>
        <v>10836.069196194687</v>
      </c>
      <c r="C68" s="25">
        <f t="shared" si="23"/>
        <v>10241.061469419001</v>
      </c>
      <c r="D68" s="25">
        <f t="shared" si="23"/>
        <v>9609.2897303597638</v>
      </c>
      <c r="E68" s="25">
        <f t="shared" si="23"/>
        <v>8939.337145539117</v>
      </c>
      <c r="F68" s="25">
        <f t="shared" si="23"/>
        <v>8229.6486901490134</v>
      </c>
      <c r="G68" s="25">
        <f t="shared" si="23"/>
        <v>7478.6882906806968</v>
      </c>
      <c r="H68" s="25">
        <f t="shared" si="23"/>
        <v>6684.6653056216455</v>
      </c>
      <c r="I68" s="25">
        <f t="shared" si="23"/>
        <v>5846.3327182269422</v>
      </c>
      <c r="J68" s="25">
        <f t="shared" si="23"/>
        <v>4961.3852716657493</v>
      </c>
      <c r="K68" s="23">
        <f t="shared" si="23"/>
        <v>4028.2575447449035</v>
      </c>
    </row>
    <row r="69" spans="1:11" ht="13.15" customHeight="1">
      <c r="A69" s="24" t="str">
        <f t="shared" ref="A69:A74" si="24">$A34</f>
        <v/>
      </c>
      <c r="B69" s="27" t="str">
        <f>IF(B58=0,"",-B57/B58)</f>
        <v/>
      </c>
      <c r="C69" s="27" t="str">
        <f t="shared" ref="C69:K69" si="25">IF(C58=0,"",-C57/C58)</f>
        <v/>
      </c>
      <c r="D69" s="27" t="str">
        <f t="shared" si="25"/>
        <v/>
      </c>
      <c r="E69" s="27" t="str">
        <f t="shared" si="25"/>
        <v/>
      </c>
      <c r="F69" s="27" t="str">
        <f t="shared" si="25"/>
        <v/>
      </c>
      <c r="G69" s="27" t="str">
        <f t="shared" si="25"/>
        <v/>
      </c>
      <c r="H69" s="27" t="str">
        <f t="shared" si="25"/>
        <v/>
      </c>
      <c r="I69" s="27" t="str">
        <f t="shared" si="25"/>
        <v/>
      </c>
      <c r="J69" s="27" t="str">
        <f t="shared" si="25"/>
        <v/>
      </c>
      <c r="K69" s="28" t="str">
        <f t="shared" si="25"/>
        <v/>
      </c>
    </row>
    <row r="70" spans="1:11" ht="13.15" customHeight="1">
      <c r="A70" s="24" t="str">
        <f t="shared" si="24"/>
        <v/>
      </c>
      <c r="B70" s="27" t="str">
        <f>IF(OR(B59=0,AND(B59=0,B58=0)),"",-B57/(B58+B59))</f>
        <v/>
      </c>
      <c r="C70" s="27" t="str">
        <f t="shared" ref="C70:K70" si="26">IF(OR(C59=0,AND(C59=0,C58=0)),"",-C57/(C58+C59))</f>
        <v/>
      </c>
      <c r="D70" s="27" t="str">
        <f t="shared" si="26"/>
        <v/>
      </c>
      <c r="E70" s="27" t="str">
        <f t="shared" si="26"/>
        <v/>
      </c>
      <c r="F70" s="27" t="str">
        <f t="shared" si="26"/>
        <v/>
      </c>
      <c r="G70" s="27" t="str">
        <f t="shared" si="26"/>
        <v/>
      </c>
      <c r="H70" s="27" t="str">
        <f t="shared" si="26"/>
        <v/>
      </c>
      <c r="I70" s="27" t="str">
        <f t="shared" si="26"/>
        <v/>
      </c>
      <c r="J70" s="27" t="str">
        <f t="shared" si="26"/>
        <v/>
      </c>
      <c r="K70" s="28" t="str">
        <f t="shared" si="26"/>
        <v/>
      </c>
    </row>
    <row r="71" spans="1:11" ht="13.15" customHeight="1">
      <c r="A71" s="24" t="str">
        <f t="shared" si="24"/>
        <v>DCR First Mortgage</v>
      </c>
      <c r="B71" s="27" t="str">
        <f>IF(OR(B60=0,AND(B60=0,B59=0,B58=0)),"",-B57/(B58+B59+B60))</f>
        <v/>
      </c>
      <c r="C71" s="27" t="str">
        <f t="shared" ref="C71:K71" si="27">IF(OR(C60=0,AND(C60=0,C59=0,C58=0)),"",-C57/(C58+C59+C60))</f>
        <v/>
      </c>
      <c r="D71" s="27" t="str">
        <f t="shared" si="27"/>
        <v/>
      </c>
      <c r="E71" s="27" t="str">
        <f t="shared" si="27"/>
        <v/>
      </c>
      <c r="F71" s="27" t="str">
        <f t="shared" si="27"/>
        <v/>
      </c>
      <c r="G71" s="27" t="str">
        <f t="shared" si="27"/>
        <v/>
      </c>
      <c r="H71" s="27" t="str">
        <f t="shared" si="27"/>
        <v/>
      </c>
      <c r="I71" s="27" t="str">
        <f t="shared" si="27"/>
        <v/>
      </c>
      <c r="J71" s="27" t="str">
        <f t="shared" si="27"/>
        <v/>
      </c>
      <c r="K71" s="28" t="str">
        <f t="shared" si="27"/>
        <v/>
      </c>
    </row>
    <row r="72" spans="1:11" ht="13.15" customHeight="1">
      <c r="A72" s="24" t="str">
        <f t="shared" si="24"/>
        <v>DCR Second Mortgage</v>
      </c>
      <c r="B72" s="27" t="str">
        <f>IF(OR(B61=0,AND(B58=0,B59=0,B60=0,B61=0)),"",-B57/(B58+B59+B60+B61))</f>
        <v/>
      </c>
      <c r="C72" s="27" t="str">
        <f t="shared" ref="C72:K72" si="28">IF(OR(C61=0,AND(C58=0,C59=0,C60=0,C61=0)),"",-C57/(C58+C59+C60+C61))</f>
        <v/>
      </c>
      <c r="D72" s="27" t="str">
        <f t="shared" si="28"/>
        <v/>
      </c>
      <c r="E72" s="27" t="str">
        <f t="shared" si="28"/>
        <v/>
      </c>
      <c r="F72" s="27" t="str">
        <f t="shared" si="28"/>
        <v/>
      </c>
      <c r="G72" s="27" t="str">
        <f t="shared" si="28"/>
        <v/>
      </c>
      <c r="H72" s="27" t="str">
        <f t="shared" si="28"/>
        <v/>
      </c>
      <c r="I72" s="27" t="str">
        <f t="shared" si="28"/>
        <v/>
      </c>
      <c r="J72" s="27" t="str">
        <f t="shared" si="28"/>
        <v/>
      </c>
      <c r="K72" s="28" t="str">
        <f t="shared" si="28"/>
        <v/>
      </c>
    </row>
    <row r="73" spans="1:11" ht="13.15" customHeight="1">
      <c r="A73" s="24" t="str">
        <f t="shared" si="24"/>
        <v>DCR Other Source</v>
      </c>
      <c r="B73" s="27" t="str">
        <f>IF(OR(B62=0,AND(B58=0,B59=0,B60=0,B61=0,B62=0)),"",-B57/(B58+B59+B60+B61+B62))</f>
        <v/>
      </c>
      <c r="C73" s="27" t="str">
        <f t="shared" ref="C73:K73" si="29">IF(OR(C62=0,AND(C58=0,C59=0,C60=0,C61=0,C62=0)),"",-C57/(C58+C59+C60+C61+C62))</f>
        <v/>
      </c>
      <c r="D73" s="27" t="str">
        <f t="shared" si="29"/>
        <v/>
      </c>
      <c r="E73" s="27" t="str">
        <f t="shared" si="29"/>
        <v/>
      </c>
      <c r="F73" s="27" t="str">
        <f t="shared" si="29"/>
        <v/>
      </c>
      <c r="G73" s="27" t="str">
        <f t="shared" si="29"/>
        <v/>
      </c>
      <c r="H73" s="27" t="str">
        <f t="shared" si="29"/>
        <v/>
      </c>
      <c r="I73" s="27" t="str">
        <f t="shared" si="29"/>
        <v/>
      </c>
      <c r="J73" s="27" t="str">
        <f t="shared" si="29"/>
        <v/>
      </c>
      <c r="K73" s="28" t="str">
        <f t="shared" si="29"/>
        <v/>
      </c>
    </row>
    <row r="74" spans="1:11" ht="13.15" customHeight="1">
      <c r="A74" s="24" t="str">
        <f t="shared" si="24"/>
        <v>DCR Other Source</v>
      </c>
      <c r="B74" s="27" t="str">
        <f>IF(OR(B63=0,AND(B58=0,B59=0,B60=0,B61=0,B62=0,B63=0)),"",-B57/(B58+B59+B60+B61+B62+B63))</f>
        <v/>
      </c>
      <c r="C74" s="27" t="str">
        <f t="shared" ref="C74:K74" si="30">IF(OR(C63=0,AND(C58=0,C59=0,C60=0,C61=0,C62=0,C63=0)),"",-C57/(C58+C59+C60+C61+C62+C63))</f>
        <v/>
      </c>
      <c r="D74" s="27" t="str">
        <f t="shared" si="30"/>
        <v/>
      </c>
      <c r="E74" s="27" t="str">
        <f t="shared" si="30"/>
        <v/>
      </c>
      <c r="F74" s="27" t="str">
        <f t="shared" si="30"/>
        <v/>
      </c>
      <c r="G74" s="27" t="str">
        <f t="shared" si="30"/>
        <v/>
      </c>
      <c r="H74" s="27" t="str">
        <f t="shared" si="30"/>
        <v/>
      </c>
      <c r="I74" s="27" t="str">
        <f t="shared" si="30"/>
        <v/>
      </c>
      <c r="J74" s="27" t="str">
        <f t="shared" si="30"/>
        <v/>
      </c>
      <c r="K74" s="28" t="str">
        <f t="shared" si="30"/>
        <v/>
      </c>
    </row>
    <row r="75" spans="1:11" ht="13.15" customHeight="1">
      <c r="A75" s="24" t="s">
        <v>1345</v>
      </c>
      <c r="B75" s="379">
        <f>IF(OR(B55="Choose mgt fee",B55="Choose One!"),"",(B49+B50+B51+B52+B53) / -(B54+B55+B56))</f>
        <v>1.1458529005722966</v>
      </c>
      <c r="C75" s="379">
        <f t="shared" ref="C75:K75" si="31">IF(OR(C55="Choose mgt fee",C55="Choose One!"),"",(C49+C50+C51+C52+C53) / -(C54+C55+C56))</f>
        <v>1.1354866401638932</v>
      </c>
      <c r="D75" s="379">
        <f t="shared" si="31"/>
        <v>1.1252080512340294</v>
      </c>
      <c r="E75" s="379">
        <f t="shared" si="31"/>
        <v>1.1150147252550011</v>
      </c>
      <c r="F75" s="379">
        <f t="shared" si="31"/>
        <v>1.1049067293024659</v>
      </c>
      <c r="G75" s="379">
        <f t="shared" si="31"/>
        <v>1.0948840519551202</v>
      </c>
      <c r="H75" s="379">
        <f t="shared" si="31"/>
        <v>1.0849445709882211</v>
      </c>
      <c r="I75" s="379">
        <f t="shared" si="31"/>
        <v>1.0750922903797462</v>
      </c>
      <c r="J75" s="379">
        <f t="shared" si="31"/>
        <v>1.0653211038210819</v>
      </c>
      <c r="K75" s="380">
        <f t="shared" si="31"/>
        <v>1.0556329883836004</v>
      </c>
    </row>
    <row r="76" spans="1:11" ht="13.15" customHeight="1">
      <c r="A76" s="24" t="str">
        <f>IF('Part III A-Sources of Funds'!$E$32 = "Neither", "", "First Mortgage Balance")</f>
        <v/>
      </c>
      <c r="B76" s="827">
        <f>IF('Part III A-Sources of Funds'!$H$32="","",-FV('Part III A-Sources of Funds'!$J$32/12,12,B58/12,K41))</f>
        <v>0</v>
      </c>
      <c r="C76" s="827">
        <f>IF('Part III A-Sources of Funds'!$H$32="","",-FV('Part III A-Sources of Funds'!$J$32/12,12,C58/12,B76))</f>
        <v>0</v>
      </c>
      <c r="D76" s="827">
        <f>IF('Part III A-Sources of Funds'!$H$32="","",-FV('Part III A-Sources of Funds'!$J$32/12,12,D58/12,C76))</f>
        <v>0</v>
      </c>
      <c r="E76" s="827">
        <f>IF('Part III A-Sources of Funds'!$H$32="","",-FV('Part III A-Sources of Funds'!$J$32/12,12,E58/12,D76))</f>
        <v>0</v>
      </c>
      <c r="F76" s="827">
        <f>IF('Part III A-Sources of Funds'!$H$32="","",-FV('Part III A-Sources of Funds'!$J$32/12,12,F58/12,E76))</f>
        <v>0</v>
      </c>
      <c r="G76" s="827">
        <f>IF('Part III A-Sources of Funds'!$H$32="","",-FV('Part III A-Sources of Funds'!$J$32/12,12,G58/12,F76))</f>
        <v>0</v>
      </c>
      <c r="H76" s="827">
        <f>IF('Part III A-Sources of Funds'!$H$32="","",-FV('Part III A-Sources of Funds'!$J$32/12,12,H58/12,G76))</f>
        <v>0</v>
      </c>
      <c r="I76" s="827">
        <f>IF('Part III A-Sources of Funds'!$H$32="","",-FV('Part III A-Sources of Funds'!$J$32/12,12,I58/12,H76))</f>
        <v>0</v>
      </c>
      <c r="J76" s="827">
        <f>IF('Part III A-Sources of Funds'!$H$32="","",-FV('Part III A-Sources of Funds'!$J$32/12,12,J58/12,I76))</f>
        <v>0</v>
      </c>
      <c r="K76" s="827">
        <f>IF('Part III A-Sources of Funds'!$H$32="","",-FV('Part III A-Sources of Funds'!$J$32/12,12,K58/12,J76))</f>
        <v>0</v>
      </c>
    </row>
    <row r="77" spans="1:11" ht="13.15" customHeight="1">
      <c r="A77" s="24" t="str">
        <f>IF('Part III A-Sources of Funds'!$E$32 = "Neither", "First Mortgage Balance", "Second Mortgage Balance")</f>
        <v>First Mortgage Balance</v>
      </c>
      <c r="B77" s="824">
        <f>IF('Part III A-Sources of Funds'!$H$33="","",-FV('Part III A-Sources of Funds'!$J$33/12,12,B60/12,K42))</f>
        <v>-3.4733552134378986E-8</v>
      </c>
      <c r="C77" s="824">
        <f>IF('Part III A-Sources of Funds'!$H$33="","",-FV('Part III A-Sources of Funds'!$J$33/12,12,C60/12,B77))</f>
        <v>-3.5611910073406098E-8</v>
      </c>
      <c r="D77" s="824">
        <f>IF('Part III A-Sources of Funds'!$H$33="","",-FV('Part III A-Sources of Funds'!$J$33/12,12,D60/12,C77))</f>
        <v>-3.6512480329390232E-8</v>
      </c>
      <c r="E77" s="824">
        <f>IF('Part III A-Sources of Funds'!$H$33="","",-FV('Part III A-Sources of Funds'!$J$33/12,12,E60/12,D77))</f>
        <v>-3.7435824617553248E-8</v>
      </c>
      <c r="F77" s="824">
        <f>IF('Part III A-Sources of Funds'!$H$33="","",-FV('Part III A-Sources of Funds'!$J$33/12,12,F60/12,E77))</f>
        <v>-3.8382518858028241E-8</v>
      </c>
      <c r="G77" s="824">
        <f>IF('Part III A-Sources of Funds'!$H$33="","",-FV('Part III A-Sources of Funds'!$J$33/12,12,G60/12,F77))</f>
        <v>-3.9353153535079819E-8</v>
      </c>
      <c r="H77" s="824">
        <f>IF('Part III A-Sources of Funds'!$H$33="","",-FV('Part III A-Sources of Funds'!$J$33/12,12,H60/12,G77))</f>
        <v>-4.0348334065408505E-8</v>
      </c>
      <c r="I77" s="824">
        <f>IF('Part III A-Sources of Funds'!$H$33="","",-FV('Part III A-Sources of Funds'!$J$33/12,12,I60/12,H77))</f>
        <v>-4.1368681175769017E-8</v>
      </c>
      <c r="J77" s="824">
        <f>IF('Part III A-Sources of Funds'!$H$33="","",-FV('Part III A-Sources of Funds'!$J$33/12,12,J60/12,I77))</f>
        <v>-4.2414831290137903E-8</v>
      </c>
      <c r="K77" s="824">
        <f>IF('Part III A-Sources of Funds'!$H$33="","",-FV('Part III A-Sources of Funds'!$J$33/12,12,K60/12,J77))</f>
        <v>-4.3487436926672068E-8</v>
      </c>
    </row>
    <row r="78" spans="1:11" ht="13.15" customHeight="1">
      <c r="A78" s="24" t="str">
        <f>IF('Part III A-Sources of Funds'!$E$32 = "Neither", "Second Mortgage Balance", "Third Mortgage Balance")</f>
        <v>Second Mortgage Balance</v>
      </c>
      <c r="B78" s="824" t="str">
        <f>IF('Part III A-Sources of Funds'!$H$34="","",-FV('Part III A-Sources of Funds'!$J$34/12,12,B61/12,K43))</f>
        <v/>
      </c>
      <c r="C78" s="824" t="str">
        <f>IF('Part III A-Sources of Funds'!$H$34="","",-FV('Part III A-Sources of Funds'!$J$34/12,12,C61/12,B78))</f>
        <v/>
      </c>
      <c r="D78" s="824" t="str">
        <f>IF('Part III A-Sources of Funds'!$H$34="","",-FV('Part III A-Sources of Funds'!$J$34/12,12,D61/12,C78))</f>
        <v/>
      </c>
      <c r="E78" s="824" t="str">
        <f>IF('Part III A-Sources of Funds'!$H$34="","",-FV('Part III A-Sources of Funds'!$J$34/12,12,E61/12,D78))</f>
        <v/>
      </c>
      <c r="F78" s="824" t="str">
        <f>IF('Part III A-Sources of Funds'!$H$34="","",-FV('Part III A-Sources of Funds'!$J$34/12,12,F61/12,E78))</f>
        <v/>
      </c>
      <c r="G78" s="824" t="str">
        <f>IF('Part III A-Sources of Funds'!$H$34="","",-FV('Part III A-Sources of Funds'!$J$34/12,12,G61/12,F78))</f>
        <v/>
      </c>
      <c r="H78" s="824" t="str">
        <f>IF('Part III A-Sources of Funds'!$H$34="","",-FV('Part III A-Sources of Funds'!$J$34/12,12,H61/12,G78))</f>
        <v/>
      </c>
      <c r="I78" s="824" t="str">
        <f>IF('Part III A-Sources of Funds'!$H$34="","",-FV('Part III A-Sources of Funds'!$J$34/12,12,I61/12,H78))</f>
        <v/>
      </c>
      <c r="J78" s="824" t="str">
        <f>IF('Part III A-Sources of Funds'!$H$34="","",-FV('Part III A-Sources of Funds'!$J$34/12,12,J61/12,I78))</f>
        <v/>
      </c>
      <c r="K78" s="824" t="str">
        <f>IF('Part III A-Sources of Funds'!$H$34="","",-FV('Part III A-Sources of Funds'!$J$34/12,12,K61/12,J78))</f>
        <v/>
      </c>
    </row>
    <row r="79" spans="1:11" ht="13.15" customHeight="1">
      <c r="A79" s="24" t="s">
        <v>1364</v>
      </c>
      <c r="B79" s="824" t="str">
        <f>IF('Part III A-Sources of Funds'!$H$35="","",-FV('Part III A-Sources of Funds'!$J$35/12,12,B62/12,K44))</f>
        <v/>
      </c>
      <c r="C79" s="824" t="str">
        <f>IF('Part III A-Sources of Funds'!$H$35="","",-FV('Part III A-Sources of Funds'!$J$35/12,12,C62/12,B79))</f>
        <v/>
      </c>
      <c r="D79" s="824" t="str">
        <f>IF('Part III A-Sources of Funds'!$H$35="","",-FV('Part III A-Sources of Funds'!$J$35/12,12,D62/12,C79))</f>
        <v/>
      </c>
      <c r="E79" s="824" t="str">
        <f>IF('Part III A-Sources of Funds'!$H$35="","",-FV('Part III A-Sources of Funds'!$J$35/12,12,E62/12,D79))</f>
        <v/>
      </c>
      <c r="F79" s="824" t="str">
        <f>IF('Part III A-Sources of Funds'!$H$35="","",-FV('Part III A-Sources of Funds'!$J$35/12,12,F62/12,E79))</f>
        <v/>
      </c>
      <c r="G79" s="824" t="str">
        <f>IF('Part III A-Sources of Funds'!$H$35="","",-FV('Part III A-Sources of Funds'!$J$35/12,12,G62/12,F79))</f>
        <v/>
      </c>
      <c r="H79" s="824" t="str">
        <f>IF('Part III A-Sources of Funds'!$H$35="","",-FV('Part III A-Sources of Funds'!$J$35/12,12,H62/12,G79))</f>
        <v/>
      </c>
      <c r="I79" s="824" t="str">
        <f>IF('Part III A-Sources of Funds'!$H$35="","",-FV('Part III A-Sources of Funds'!$J$35/12,12,I62/12,H79))</f>
        <v/>
      </c>
      <c r="J79" s="824" t="str">
        <f>IF('Part III A-Sources of Funds'!$H$35="","",-FV('Part III A-Sources of Funds'!$J$35/12,12,J62/12,I79))</f>
        <v/>
      </c>
      <c r="K79" s="824" t="str">
        <f>IF('Part III A-Sources of Funds'!$H$35="","",-FV('Part III A-Sources of Funds'!$J$35/12,12,K62/12,J79))</f>
        <v/>
      </c>
    </row>
    <row r="80" spans="1:11" ht="13.15" customHeight="1">
      <c r="A80" s="24" t="s">
        <v>1364</v>
      </c>
      <c r="B80" s="824" t="str">
        <f>IF('Part III A-Sources of Funds'!$H$36="","",-FV('Part III A-Sources of Funds'!$J$36/12,12,B63/12,K45))</f>
        <v/>
      </c>
      <c r="C80" s="824" t="str">
        <f>IF('Part III A-Sources of Funds'!$H$36="","",-FV('Part III A-Sources of Funds'!$J$36/12,12,C63/12,B80))</f>
        <v/>
      </c>
      <c r="D80" s="824" t="str">
        <f>IF('Part III A-Sources of Funds'!$H$36="","",-FV('Part III A-Sources of Funds'!$J$36/12,12,D63/12,C80))</f>
        <v/>
      </c>
      <c r="E80" s="824" t="str">
        <f>IF('Part III A-Sources of Funds'!$H$36="","",-FV('Part III A-Sources of Funds'!$J$36/12,12,E63/12,D80))</f>
        <v/>
      </c>
      <c r="F80" s="824" t="str">
        <f>IF('Part III A-Sources of Funds'!$H$36="","",-FV('Part III A-Sources of Funds'!$J$36/12,12,F63/12,E80))</f>
        <v/>
      </c>
      <c r="G80" s="824" t="str">
        <f>IF('Part III A-Sources of Funds'!$H$36="","",-FV('Part III A-Sources of Funds'!$J$36/12,12,G63/12,F80))</f>
        <v/>
      </c>
      <c r="H80" s="824" t="str">
        <f>IF('Part III A-Sources of Funds'!$H$36="","",-FV('Part III A-Sources of Funds'!$J$36/12,12,H63/12,G80))</f>
        <v/>
      </c>
      <c r="I80" s="824" t="str">
        <f>IF('Part III A-Sources of Funds'!$H$36="","",-FV('Part III A-Sources of Funds'!$J$36/12,12,I63/12,H80))</f>
        <v/>
      </c>
      <c r="J80" s="824" t="str">
        <f>IF('Part III A-Sources of Funds'!$H$36="","",-FV('Part III A-Sources of Funds'!$J$36/12,12,J63/12,I80))</f>
        <v/>
      </c>
      <c r="K80" s="824" t="str">
        <f>IF('Part III A-Sources of Funds'!$H$36="","",-FV('Part III A-Sources of Funds'!$J$36/12,12,K63/12,J80))</f>
        <v/>
      </c>
    </row>
    <row r="81" spans="1:11" ht="13.15" customHeight="1">
      <c r="A81" s="29" t="s">
        <v>1899</v>
      </c>
      <c r="B81" s="828">
        <f>IF('Part III A-Sources of Funds'!$H$37="","",-FV('Part III A-Sources of Funds'!$J$37/12,12,B66/12,K46))</f>
        <v>-0.3588397851786197</v>
      </c>
      <c r="C81" s="828">
        <f>IF('Part III A-Sources of Funds'!$H$37="","",-FV('Part III A-Sources of Funds'!$J$37/12,12,C66/12,B81))</f>
        <v>-8.0693669138226509E-3</v>
      </c>
      <c r="D81" s="828">
        <f>IF('Part III A-Sources of Funds'!$H$37="","",-FV('Part III A-Sources of Funds'!$J$37/12,12,D66/12,C81))</f>
        <v>-8.402311440623679E-3</v>
      </c>
      <c r="E81" s="828">
        <f>IF('Part III A-Sources of Funds'!$H$37="","",-FV('Part III A-Sources of Funds'!$J$37/12,12,E66/12,D81))</f>
        <v>-8.7489933596031286E-3</v>
      </c>
      <c r="F81" s="828">
        <f>IF('Part III A-Sources of Funds'!$H$37="","",-FV('Part III A-Sources of Funds'!$J$37/12,12,F66/12,E81))</f>
        <v>-9.1099794797296803E-3</v>
      </c>
      <c r="G81" s="828">
        <f>IF('Part III A-Sources of Funds'!$H$37="","",-FV('Part III A-Sources of Funds'!$J$37/12,12,G66/12,F81))</f>
        <v>-9.4858599966820088E-3</v>
      </c>
      <c r="H81" s="828">
        <f>IF('Part III A-Sources of Funds'!$H$37="","",-FV('Part III A-Sources of Funds'!$J$37/12,12,H66/12,G81))</f>
        <v>-9.8772494577915367E-3</v>
      </c>
      <c r="I81" s="828">
        <f>IF('Part III A-Sources of Funds'!$H$37="","",-FV('Part III A-Sources of Funds'!$J$37/12,12,I66/12,H81))</f>
        <v>-1.0284787766799008E-2</v>
      </c>
      <c r="J81" s="828">
        <f>IF('Part III A-Sources of Funds'!$H$37="","",-FV('Part III A-Sources of Funds'!$J$37/12,12,J66/12,I81))</f>
        <v>-1.0709141230067633E-2</v>
      </c>
      <c r="K81" s="828">
        <f>IF('Part III A-Sources of Funds'!$H$37="","",-FV('Part III A-Sources of Funds'!$J$37/12,12,K66/12,J81))</f>
        <v>-1.1151003645963302E-2</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2">B83+1</f>
        <v>22</v>
      </c>
      <c r="D83" s="18">
        <f t="shared" si="32"/>
        <v>23</v>
      </c>
      <c r="E83" s="18">
        <f t="shared" si="32"/>
        <v>24</v>
      </c>
      <c r="F83" s="18">
        <f t="shared" si="32"/>
        <v>25</v>
      </c>
      <c r="G83" s="18">
        <f t="shared" si="32"/>
        <v>26</v>
      </c>
      <c r="H83" s="18">
        <f t="shared" si="32"/>
        <v>27</v>
      </c>
      <c r="I83" s="18">
        <f t="shared" si="32"/>
        <v>28</v>
      </c>
      <c r="J83" s="18">
        <f t="shared" si="32"/>
        <v>29</v>
      </c>
      <c r="K83" s="18">
        <f t="shared" si="32"/>
        <v>30</v>
      </c>
    </row>
    <row r="84" spans="1:11" ht="13.15" customHeight="1">
      <c r="A84" s="21" t="s">
        <v>3643</v>
      </c>
      <c r="B84" s="22">
        <f t="shared" ref="B84:K84" si="33">$B$14*(1+$B$5)^(B83-1)</f>
        <v>658833.41263929883</v>
      </c>
      <c r="C84" s="22">
        <f t="shared" si="33"/>
        <v>672010.08089208475</v>
      </c>
      <c r="D84" s="22">
        <f t="shared" si="33"/>
        <v>685450.28250992647</v>
      </c>
      <c r="E84" s="22">
        <f t="shared" si="33"/>
        <v>699159.28816012479</v>
      </c>
      <c r="F84" s="22">
        <f t="shared" si="33"/>
        <v>713142.4739233274</v>
      </c>
      <c r="G84" s="22">
        <f t="shared" si="33"/>
        <v>727405.32340179395</v>
      </c>
      <c r="H84" s="22">
        <f t="shared" si="33"/>
        <v>741953.42986982991</v>
      </c>
      <c r="I84" s="22">
        <f t="shared" si="33"/>
        <v>756792.4984672264</v>
      </c>
      <c r="J84" s="22">
        <f t="shared" si="33"/>
        <v>771928.34843657108</v>
      </c>
      <c r="K84" s="23">
        <f t="shared" si="33"/>
        <v>787366.91540530231</v>
      </c>
    </row>
    <row r="85" spans="1:11" ht="13.15" customHeight="1">
      <c r="A85" s="24" t="s">
        <v>1632</v>
      </c>
      <c r="B85" s="25">
        <f t="shared" ref="B85:K85" si="34">$B$15*(1+$B$5)^(B83-1)</f>
        <v>13176.668252785976</v>
      </c>
      <c r="C85" s="25">
        <f t="shared" si="34"/>
        <v>13440.201617841694</v>
      </c>
      <c r="D85" s="25">
        <f t="shared" si="34"/>
        <v>13709.005650198529</v>
      </c>
      <c r="E85" s="25">
        <f t="shared" si="34"/>
        <v>13983.185763202498</v>
      </c>
      <c r="F85" s="25">
        <f t="shared" si="34"/>
        <v>14262.849478466549</v>
      </c>
      <c r="G85" s="25">
        <f t="shared" si="34"/>
        <v>14548.10646803588</v>
      </c>
      <c r="H85" s="25">
        <f t="shared" si="34"/>
        <v>14839.068597396599</v>
      </c>
      <c r="I85" s="25">
        <f t="shared" si="34"/>
        <v>15135.849969344528</v>
      </c>
      <c r="J85" s="25">
        <f t="shared" si="34"/>
        <v>15438.566968731422</v>
      </c>
      <c r="K85" s="26">
        <f t="shared" si="34"/>
        <v>15747.338308106047</v>
      </c>
    </row>
    <row r="86" spans="1:11" ht="13.15" customHeight="1">
      <c r="A86" s="24" t="s">
        <v>3644</v>
      </c>
      <c r="B86" s="25">
        <f t="shared" ref="B86:K86" si="35">-(B84+B85)*$B$8</f>
        <v>-47040.705662445936</v>
      </c>
      <c r="C86" s="25">
        <f t="shared" si="35"/>
        <v>-47981.519775694855</v>
      </c>
      <c r="D86" s="25">
        <f t="shared" si="35"/>
        <v>-48941.150171208756</v>
      </c>
      <c r="E86" s="25">
        <f t="shared" si="35"/>
        <v>-49919.973174632913</v>
      </c>
      <c r="F86" s="25">
        <f t="shared" si="35"/>
        <v>-50918.372638125584</v>
      </c>
      <c r="G86" s="25">
        <f t="shared" si="35"/>
        <v>-51936.740090888088</v>
      </c>
      <c r="H86" s="25">
        <f t="shared" si="35"/>
        <v>-52975.474892705861</v>
      </c>
      <c r="I86" s="25">
        <f t="shared" si="35"/>
        <v>-54034.98439055997</v>
      </c>
      <c r="J86" s="25">
        <f t="shared" si="35"/>
        <v>-55115.684078371181</v>
      </c>
      <c r="K86" s="26">
        <f t="shared" si="35"/>
        <v>-56217.997759938589</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36">$B$19*(1+$B$6)^(B83-1)</f>
        <v>-522042.83762707777</v>
      </c>
      <c r="C89" s="25">
        <f t="shared" si="36"/>
        <v>-537704.12275589001</v>
      </c>
      <c r="D89" s="25">
        <f t="shared" si="36"/>
        <v>-553835.24643856683</v>
      </c>
      <c r="E89" s="25">
        <f t="shared" si="36"/>
        <v>-570450.30383172387</v>
      </c>
      <c r="F89" s="25">
        <f t="shared" si="36"/>
        <v>-587563.81294667546</v>
      </c>
      <c r="G89" s="25">
        <f t="shared" si="36"/>
        <v>-605190.72733507573</v>
      </c>
      <c r="H89" s="25">
        <f t="shared" si="36"/>
        <v>-623346.4491551281</v>
      </c>
      <c r="I89" s="25">
        <f t="shared" si="36"/>
        <v>-642046.84262978181</v>
      </c>
      <c r="J89" s="25">
        <f t="shared" si="36"/>
        <v>-661308.24790867534</v>
      </c>
      <c r="K89" s="26">
        <f t="shared" si="36"/>
        <v>-681147.49534593546</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-37498</v>
      </c>
      <c r="C90" s="25">
        <f>IF(AND('Part VII-Pro Forma'!$G$8="Yes",'Part VII-Pro Forma'!$G$9="Yes"),"Choose One!",IF('Part VII-Pro Forma'!$G$8="Yes",ROUND((-$K$8*(1+'Part VII-Pro Forma'!$B$6)^('Part VII-Pro Forma'!C83-1)),),IF('Part VII-Pro Forma'!$G$9="Yes",ROUND((-(SUM(C84:C87)*'Part VII-Pro Forma'!$K$9)),),"Choose mgt fee")))</f>
        <v>-38248</v>
      </c>
      <c r="D90" s="25">
        <f>IF(AND('Part VII-Pro Forma'!$G$8="Yes",'Part VII-Pro Forma'!$G$9="Yes"),"Choose One!",IF('Part VII-Pro Forma'!$G$8="Yes",ROUND((-$K$8*(1+'Part VII-Pro Forma'!$B$6)^('Part VII-Pro Forma'!D83-1)),),IF('Part VII-Pro Forma'!$G$9="Yes",ROUND((-(SUM(D84:D87)*'Part VII-Pro Forma'!$K$9)),),"Choose mgt fee")))</f>
        <v>-39013</v>
      </c>
      <c r="E90" s="25">
        <f>IF(AND('Part VII-Pro Forma'!$G$8="Yes",'Part VII-Pro Forma'!$G$9="Yes"),"Choose One!",IF('Part VII-Pro Forma'!$G$8="Yes",ROUND((-$K$8*(1+'Part VII-Pro Forma'!$B$6)^('Part VII-Pro Forma'!E83-1)),),IF('Part VII-Pro Forma'!$G$9="Yes",ROUND((-(SUM(E84:E87)*'Part VII-Pro Forma'!$K$9)),),"Choose mgt fee")))</f>
        <v>-39793</v>
      </c>
      <c r="F90" s="25">
        <f>IF(AND('Part VII-Pro Forma'!$G$8="Yes",'Part VII-Pro Forma'!$G$9="Yes"),"Choose One!",IF('Part VII-Pro Forma'!$G$8="Yes",ROUND((-$K$8*(1+'Part VII-Pro Forma'!$B$6)^('Part VII-Pro Forma'!F83-1)),),IF('Part VII-Pro Forma'!$G$9="Yes",ROUND((-(SUM(F84:F87)*'Part VII-Pro Forma'!$K$9)),),"Choose mgt fee")))</f>
        <v>-40589</v>
      </c>
      <c r="G90" s="25">
        <f>IF(AND('Part VII-Pro Forma'!$G$8="Yes",'Part VII-Pro Forma'!$G$9="Yes"),"Choose One!",IF('Part VII-Pro Forma'!$G$8="Yes",ROUND((-$K$8*(1+'Part VII-Pro Forma'!$B$6)^('Part VII-Pro Forma'!G83-1)),),IF('Part VII-Pro Forma'!$G$9="Yes",ROUND((-(SUM(G84:G87)*'Part VII-Pro Forma'!$K$9)),),"Choose mgt fee")))</f>
        <v>-41401</v>
      </c>
      <c r="H90" s="25">
        <f>IF(AND('Part VII-Pro Forma'!$G$8="Yes",'Part VII-Pro Forma'!$G$9="Yes"),"Choose One!",IF('Part VII-Pro Forma'!$G$8="Yes",ROUND((-$K$8*(1+'Part VII-Pro Forma'!$B$6)^('Part VII-Pro Forma'!H83-1)),),IF('Part VII-Pro Forma'!$G$9="Yes",ROUND((-(SUM(H84:H87)*'Part VII-Pro Forma'!$K$9)),),"Choose mgt fee")))</f>
        <v>-42229</v>
      </c>
      <c r="I90" s="25">
        <f>IF(AND('Part VII-Pro Forma'!$G$8="Yes",'Part VII-Pro Forma'!$G$9="Yes"),"Choose One!",IF('Part VII-Pro Forma'!$G$8="Yes",ROUND((-$K$8*(1+'Part VII-Pro Forma'!$B$6)^('Part VII-Pro Forma'!I83-1)),),IF('Part VII-Pro Forma'!$G$9="Yes",ROUND((-(SUM(I84:I87)*'Part VII-Pro Forma'!$K$9)),),"Choose mgt fee")))</f>
        <v>-43074</v>
      </c>
      <c r="J90" s="25">
        <f>IF(AND('Part VII-Pro Forma'!$G$8="Yes",'Part VII-Pro Forma'!$G$9="Yes"),"Choose One!",IF('Part VII-Pro Forma'!$G$8="Yes",ROUND((-$K$8*(1+'Part VII-Pro Forma'!$B$6)^('Part VII-Pro Forma'!J83-1)),),IF('Part VII-Pro Forma'!$G$9="Yes",ROUND((-(SUM(J84:J87)*'Part VII-Pro Forma'!$K$9)),),"Choose mgt fee")))</f>
        <v>-43935</v>
      </c>
      <c r="K90" s="25">
        <f>IF(AND('Part VII-Pro Forma'!$G$8="Yes",'Part VII-Pro Forma'!$G$9="Yes"),"Choose One!",IF('Part VII-Pro Forma'!$G$8="Yes",ROUND((-$K$8*(1+'Part VII-Pro Forma'!$B$6)^('Part VII-Pro Forma'!K83-1)),),IF('Part VII-Pro Forma'!$G$9="Yes",ROUND((-(SUM(K84:K87)*'Part VII-Pro Forma'!$K$9)),),"Choose mgt fee")))</f>
        <v>-44814</v>
      </c>
    </row>
    <row r="91" spans="1:11" ht="13.15" customHeight="1">
      <c r="A91" s="24" t="s">
        <v>1862</v>
      </c>
      <c r="B91" s="25">
        <f t="shared" ref="B91:K91" si="37">$B$21*(1+$B$7)^(B83-1)</f>
        <v>-37928.335928057677</v>
      </c>
      <c r="C91" s="25">
        <f t="shared" si="37"/>
        <v>-39066.186005899406</v>
      </c>
      <c r="D91" s="25">
        <f t="shared" si="37"/>
        <v>-40238.171586076387</v>
      </c>
      <c r="E91" s="25">
        <f t="shared" si="37"/>
        <v>-41445.316733658685</v>
      </c>
      <c r="F91" s="25">
        <f t="shared" si="37"/>
        <v>-42688.676235668441</v>
      </c>
      <c r="G91" s="25">
        <f t="shared" si="37"/>
        <v>-43969.336522738493</v>
      </c>
      <c r="H91" s="25">
        <f t="shared" si="37"/>
        <v>-45288.416618420655</v>
      </c>
      <c r="I91" s="25">
        <f t="shared" si="37"/>
        <v>-46647.069116973267</v>
      </c>
      <c r="J91" s="25">
        <f t="shared" si="37"/>
        <v>-48046.481190482467</v>
      </c>
      <c r="K91" s="26">
        <f t="shared" si="37"/>
        <v>-49487.875626196932</v>
      </c>
    </row>
    <row r="92" spans="1:11" ht="13.15" customHeight="1">
      <c r="A92" s="24" t="s">
        <v>1863</v>
      </c>
      <c r="B92" s="25">
        <f t="shared" ref="B92:K92" si="38">SUM(B84:B91)</f>
        <v>27500.201674503325</v>
      </c>
      <c r="C92" s="25">
        <f t="shared" si="38"/>
        <v>22450.453972442236</v>
      </c>
      <c r="D92" s="25">
        <f t="shared" si="38"/>
        <v>17131.719964273034</v>
      </c>
      <c r="E92" s="25">
        <f t="shared" si="38"/>
        <v>11533.880183311856</v>
      </c>
      <c r="F92" s="25">
        <f t="shared" si="38"/>
        <v>5645.4615813244964</v>
      </c>
      <c r="G92" s="25">
        <f t="shared" si="38"/>
        <v>-544.37407887254085</v>
      </c>
      <c r="H92" s="25">
        <f t="shared" si="38"/>
        <v>-7046.8421990281495</v>
      </c>
      <c r="I92" s="25">
        <f t="shared" si="38"/>
        <v>-13874.547700744071</v>
      </c>
      <c r="J92" s="25">
        <f t="shared" si="38"/>
        <v>-21038.497772226423</v>
      </c>
      <c r="K92" s="26">
        <f t="shared" si="38"/>
        <v>-28553.115018662611</v>
      </c>
    </row>
    <row r="93" spans="1:11" ht="13.15" customHeight="1">
      <c r="A93" s="24" t="str">
        <f t="shared" ref="A93:A98" si="39">$A58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39"/>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39"/>
        <v>D/S Mortgage A</v>
      </c>
      <c r="B95" s="824"/>
      <c r="C95" s="824"/>
      <c r="D95" s="824"/>
      <c r="E95" s="824"/>
      <c r="F95" s="824"/>
      <c r="G95" s="824"/>
      <c r="H95" s="824"/>
      <c r="I95" s="824"/>
      <c r="J95" s="824"/>
      <c r="K95" s="824"/>
    </row>
    <row r="96" spans="1:11" ht="13.15" customHeight="1">
      <c r="A96" s="24" t="str">
        <f t="shared" si="39"/>
        <v>D/S Mortgage B</v>
      </c>
      <c r="B96" s="824">
        <f>IF('Part III A-Sources of Funds'!$M$34="", 0,-'Part III A-Sources of Funds'!$M$34)</f>
        <v>0</v>
      </c>
      <c r="C96" s="824">
        <f>IF('Part III A-Sources of Funds'!$M$34="", 0,-'Part III A-Sources of Funds'!$M$34)</f>
        <v>0</v>
      </c>
      <c r="D96" s="824">
        <f>IF('Part III A-Sources of Funds'!$M$34="", 0,-'Part III A-Sources of Funds'!$M$34)</f>
        <v>0</v>
      </c>
      <c r="E96" s="824">
        <f>IF('Part III A-Sources of Funds'!$M$34="", 0,-'Part III A-Sources of Funds'!$M$34)</f>
        <v>0</v>
      </c>
      <c r="F96" s="824">
        <f>IF('Part III A-Sources of Funds'!$M$34="", 0,-'Part III A-Sources of Funds'!$M$34)</f>
        <v>0</v>
      </c>
      <c r="G96" s="824">
        <f>IF('Part III A-Sources of Funds'!$M$34="", 0,-'Part III A-Sources of Funds'!$M$34)</f>
        <v>0</v>
      </c>
      <c r="H96" s="824">
        <f>IF('Part III A-Sources of Funds'!$M$34="", 0,-'Part III A-Sources of Funds'!$M$34)</f>
        <v>0</v>
      </c>
      <c r="I96" s="824">
        <f>IF('Part III A-Sources of Funds'!$M$34="", 0,-'Part III A-Sources of Funds'!$M$34)</f>
        <v>0</v>
      </c>
      <c r="J96" s="824">
        <f>IF('Part III A-Sources of Funds'!$M$34="", 0,-'Part III A-Sources of Funds'!$M$34)</f>
        <v>0</v>
      </c>
      <c r="K96" s="824">
        <f>IF('Part III A-Sources of Funds'!$M$34="", 0,-'Part III A-Sources of Funds'!$M$34)</f>
        <v>0</v>
      </c>
    </row>
    <row r="97" spans="1:11" ht="13.15" customHeight="1">
      <c r="A97" s="24" t="str">
        <f t="shared" si="39"/>
        <v>D/S Other Source</v>
      </c>
      <c r="B97" s="824">
        <f>IF('Part III A-Sources of Funds'!$M$35="", 0,-'Part III A-Sources of Funds'!$M$35)</f>
        <v>0</v>
      </c>
      <c r="C97" s="824">
        <f>IF('Part III A-Sources of Funds'!$M$35="", 0,-'Part III A-Sources of Funds'!$M$35)</f>
        <v>0</v>
      </c>
      <c r="D97" s="824">
        <f>IF('Part III A-Sources of Funds'!$M$35="", 0,-'Part III A-Sources of Funds'!$M$35)</f>
        <v>0</v>
      </c>
      <c r="E97" s="824">
        <f>IF('Part III A-Sources of Funds'!$M$35="", 0,-'Part III A-Sources of Funds'!$M$35)</f>
        <v>0</v>
      </c>
      <c r="F97" s="824">
        <f>IF('Part III A-Sources of Funds'!$M$35="", 0,-'Part III A-Sources of Funds'!$M$35)</f>
        <v>0</v>
      </c>
      <c r="G97" s="824">
        <f>IF('Part III A-Sources of Funds'!$M$35="", 0,-'Part III A-Sources of Funds'!$M$35)</f>
        <v>0</v>
      </c>
      <c r="H97" s="824">
        <f>IF('Part III A-Sources of Funds'!$M$35="", 0,-'Part III A-Sources of Funds'!$M$35)</f>
        <v>0</v>
      </c>
      <c r="I97" s="824">
        <f>IF('Part III A-Sources of Funds'!$M$35="", 0,-'Part III A-Sources of Funds'!$M$35)</f>
        <v>0</v>
      </c>
      <c r="J97" s="824">
        <f>IF('Part III A-Sources of Funds'!$M$35="", 0,-'Part III A-Sources of Funds'!$M$35)</f>
        <v>0</v>
      </c>
      <c r="K97" s="824">
        <f>IF('Part III A-Sources of Funds'!$M$35="", 0,-'Part III A-Sources of Funds'!$M$35)</f>
        <v>0</v>
      </c>
    </row>
    <row r="98" spans="1:11" ht="13.15" customHeight="1">
      <c r="A98" s="24" t="str">
        <f t="shared" si="39"/>
        <v>D/S Grant from fdn / charity</v>
      </c>
      <c r="B98" s="824">
        <f>IF('Part III A-Sources of Funds'!$M$36="", 0,-'Part III A-Sources of Funds'!$M$36)</f>
        <v>0</v>
      </c>
      <c r="C98" s="824">
        <f>IF('Part III A-Sources of Funds'!$M$36="", 0,-'Part III A-Sources of Funds'!$M$36)</f>
        <v>0</v>
      </c>
      <c r="D98" s="824">
        <f>IF('Part III A-Sources of Funds'!$M$36="", 0,-'Part III A-Sources of Funds'!$M$36)</f>
        <v>0</v>
      </c>
      <c r="E98" s="824">
        <f>IF('Part III A-Sources of Funds'!$M$36="", 0,-'Part III A-Sources of Funds'!$M$36)</f>
        <v>0</v>
      </c>
      <c r="F98" s="824">
        <f>IF('Part III A-Sources of Funds'!$M$36="", 0,-'Part III A-Sources of Funds'!$M$36)</f>
        <v>0</v>
      </c>
      <c r="G98" s="824">
        <f>IF('Part III A-Sources of Funds'!$M$36="", 0,-'Part III A-Sources of Funds'!$M$36)</f>
        <v>0</v>
      </c>
      <c r="H98" s="824">
        <f>IF('Part III A-Sources of Funds'!$M$36="", 0,-'Part III A-Sources of Funds'!$M$36)</f>
        <v>0</v>
      </c>
      <c r="I98" s="824">
        <f>IF('Part III A-Sources of Funds'!$M$36="", 0,-'Part III A-Sources of Funds'!$M$36)</f>
        <v>0</v>
      </c>
      <c r="J98" s="824">
        <f>IF('Part III A-Sources of Funds'!$M$36="", 0,-'Part III A-Sources of Funds'!$M$36)</f>
        <v>0</v>
      </c>
      <c r="K98" s="824">
        <f>IF('Part III A-Sources of Funds'!$M$36="", 0,-'Part III A-Sources of Funds'!$M$36)</f>
        <v>0</v>
      </c>
    </row>
    <row r="99" spans="1:11" ht="13.15" customHeight="1">
      <c r="A99" s="24" t="s">
        <v>1336</v>
      </c>
      <c r="B99" s="825"/>
      <c r="C99" s="825"/>
      <c r="D99" s="825"/>
      <c r="E99" s="825"/>
      <c r="F99" s="825"/>
      <c r="G99" s="825"/>
      <c r="H99" s="825"/>
      <c r="I99" s="825"/>
      <c r="J99" s="825"/>
      <c r="K99" s="825"/>
    </row>
    <row r="100" spans="1:11" ht="13.15" customHeight="1">
      <c r="A100" s="24" t="s">
        <v>1807</v>
      </c>
      <c r="B100" s="824"/>
      <c r="C100" s="824"/>
      <c r="D100" s="824"/>
      <c r="E100" s="824"/>
      <c r="F100" s="824"/>
      <c r="G100" s="824"/>
      <c r="H100" s="824"/>
      <c r="I100" s="824"/>
      <c r="J100" s="824"/>
      <c r="K100" s="824"/>
    </row>
    <row r="101" spans="1:11" ht="13.15" customHeight="1">
      <c r="A101" s="24" t="s">
        <v>1864</v>
      </c>
      <c r="B101" s="824"/>
      <c r="C101" s="824"/>
      <c r="D101" s="824"/>
      <c r="E101" s="824"/>
      <c r="F101" s="824"/>
      <c r="G101" s="824"/>
      <c r="H101" s="824"/>
      <c r="I101" s="824"/>
      <c r="J101" s="824"/>
      <c r="K101" s="824"/>
    </row>
    <row r="102" spans="1:11" ht="13.15" customHeight="1">
      <c r="A102" s="24" t="s">
        <v>1808</v>
      </c>
      <c r="B102" s="826"/>
      <c r="C102" s="826"/>
      <c r="D102" s="826"/>
      <c r="E102" s="826"/>
      <c r="F102" s="826"/>
      <c r="G102" s="826"/>
      <c r="H102" s="826"/>
      <c r="I102" s="826"/>
      <c r="J102" s="826"/>
      <c r="K102" s="826"/>
    </row>
    <row r="103" spans="1:11" ht="13.15" customHeight="1">
      <c r="A103" s="24" t="s">
        <v>1809</v>
      </c>
      <c r="B103" s="25">
        <f t="shared" ref="B103:K103" si="40">SUM(B92:B102)</f>
        <v>27500.201674503325</v>
      </c>
      <c r="C103" s="25">
        <f t="shared" si="40"/>
        <v>22450.453972442236</v>
      </c>
      <c r="D103" s="25">
        <f t="shared" si="40"/>
        <v>17131.719964273034</v>
      </c>
      <c r="E103" s="25">
        <f t="shared" si="40"/>
        <v>11533.880183311856</v>
      </c>
      <c r="F103" s="25">
        <f t="shared" si="40"/>
        <v>5645.4615813244964</v>
      </c>
      <c r="G103" s="25">
        <f t="shared" si="40"/>
        <v>-544.37407887254085</v>
      </c>
      <c r="H103" s="25">
        <f t="shared" si="40"/>
        <v>-7046.8421990281495</v>
      </c>
      <c r="I103" s="25">
        <f t="shared" si="40"/>
        <v>-13874.547700744071</v>
      </c>
      <c r="J103" s="25">
        <f t="shared" si="40"/>
        <v>-21038.497772226423</v>
      </c>
      <c r="K103" s="23">
        <f t="shared" si="40"/>
        <v>-28553.115018662611</v>
      </c>
    </row>
    <row r="104" spans="1:11" ht="13.15" customHeight="1">
      <c r="A104" s="24" t="str">
        <f t="shared" ref="A104:A109" si="41">$A69</f>
        <v/>
      </c>
      <c r="B104" s="27" t="str">
        <f>IF(B93=0,"",-B92/B93)</f>
        <v/>
      </c>
      <c r="C104" s="27" t="str">
        <f t="shared" ref="C104:K104" si="42">IF(C93=0,"",-C92/C93)</f>
        <v/>
      </c>
      <c r="D104" s="27" t="str">
        <f t="shared" si="42"/>
        <v/>
      </c>
      <c r="E104" s="27" t="str">
        <f t="shared" si="42"/>
        <v/>
      </c>
      <c r="F104" s="27" t="str">
        <f t="shared" si="42"/>
        <v/>
      </c>
      <c r="G104" s="27" t="str">
        <f t="shared" si="42"/>
        <v/>
      </c>
      <c r="H104" s="27" t="str">
        <f t="shared" si="42"/>
        <v/>
      </c>
      <c r="I104" s="27" t="str">
        <f t="shared" si="42"/>
        <v/>
      </c>
      <c r="J104" s="27" t="str">
        <f t="shared" si="42"/>
        <v/>
      </c>
      <c r="K104" s="28" t="str">
        <f t="shared" si="42"/>
        <v/>
      </c>
    </row>
    <row r="105" spans="1:11" ht="13.15" customHeight="1">
      <c r="A105" s="24" t="str">
        <f t="shared" si="41"/>
        <v/>
      </c>
      <c r="B105" s="27" t="str">
        <f>IF(OR(B94=0,AND(B94=0,B93=0)),"",-B92/(B93+B94))</f>
        <v/>
      </c>
      <c r="C105" s="27" t="str">
        <f t="shared" ref="C105:K105" si="43">IF(OR(C94=0,AND(C94=0,C93=0)),"",-C92/(C93+C94))</f>
        <v/>
      </c>
      <c r="D105" s="27" t="str">
        <f t="shared" si="43"/>
        <v/>
      </c>
      <c r="E105" s="27" t="str">
        <f t="shared" si="43"/>
        <v/>
      </c>
      <c r="F105" s="27" t="str">
        <f t="shared" si="43"/>
        <v/>
      </c>
      <c r="G105" s="27" t="str">
        <f t="shared" si="43"/>
        <v/>
      </c>
      <c r="H105" s="27" t="str">
        <f t="shared" si="43"/>
        <v/>
      </c>
      <c r="I105" s="27" t="str">
        <f t="shared" si="43"/>
        <v/>
      </c>
      <c r="J105" s="27" t="str">
        <f t="shared" si="43"/>
        <v/>
      </c>
      <c r="K105" s="28" t="str">
        <f t="shared" si="43"/>
        <v/>
      </c>
    </row>
    <row r="106" spans="1:11" ht="13.15" customHeight="1">
      <c r="A106" s="24" t="str">
        <f t="shared" si="41"/>
        <v>DCR First Mortgage</v>
      </c>
      <c r="B106" s="27" t="str">
        <f>IF(OR(B95=0,AND(B95=0,B94=0,B93=0)),"",-B92/(B93+B94+B95))</f>
        <v/>
      </c>
      <c r="C106" s="27" t="str">
        <f t="shared" ref="C106:K106" si="44">IF(OR(C95=0,AND(C95=0,C94=0,C93=0)),"",-C92/(C93+C94+C95))</f>
        <v/>
      </c>
      <c r="D106" s="27" t="str">
        <f t="shared" si="44"/>
        <v/>
      </c>
      <c r="E106" s="27" t="str">
        <f t="shared" si="44"/>
        <v/>
      </c>
      <c r="F106" s="27" t="str">
        <f t="shared" si="44"/>
        <v/>
      </c>
      <c r="G106" s="27" t="str">
        <f t="shared" si="44"/>
        <v/>
      </c>
      <c r="H106" s="27" t="str">
        <f t="shared" si="44"/>
        <v/>
      </c>
      <c r="I106" s="27" t="str">
        <f t="shared" si="44"/>
        <v/>
      </c>
      <c r="J106" s="27" t="str">
        <f t="shared" si="44"/>
        <v/>
      </c>
      <c r="K106" s="28" t="str">
        <f t="shared" si="44"/>
        <v/>
      </c>
    </row>
    <row r="107" spans="1:11" ht="13.15" customHeight="1">
      <c r="A107" s="24" t="str">
        <f t="shared" si="41"/>
        <v>DCR Second Mortgage</v>
      </c>
      <c r="B107" s="27" t="str">
        <f>IF(OR(B96=0,AND(B93=0,B94=0,B95=0,B96=0)),"",-B92/(B93+B94+B95+B96))</f>
        <v/>
      </c>
      <c r="C107" s="27" t="str">
        <f t="shared" ref="C107:K107" si="45">IF(OR(C96=0,AND(C93=0,C94=0,C95=0,C96=0)),"",-C92/(C93+C94+C95+C96))</f>
        <v/>
      </c>
      <c r="D107" s="27" t="str">
        <f t="shared" si="45"/>
        <v/>
      </c>
      <c r="E107" s="27" t="str">
        <f t="shared" si="45"/>
        <v/>
      </c>
      <c r="F107" s="27" t="str">
        <f t="shared" si="45"/>
        <v/>
      </c>
      <c r="G107" s="27" t="str">
        <f t="shared" si="45"/>
        <v/>
      </c>
      <c r="H107" s="27" t="str">
        <f t="shared" si="45"/>
        <v/>
      </c>
      <c r="I107" s="27" t="str">
        <f t="shared" si="45"/>
        <v/>
      </c>
      <c r="J107" s="27" t="str">
        <f t="shared" si="45"/>
        <v/>
      </c>
      <c r="K107" s="28" t="str">
        <f t="shared" si="45"/>
        <v/>
      </c>
    </row>
    <row r="108" spans="1:11" ht="13.15" customHeight="1">
      <c r="A108" s="24" t="str">
        <f t="shared" si="41"/>
        <v>DCR Other Source</v>
      </c>
      <c r="B108" s="27" t="str">
        <f>IF(OR(B97=0,AND(B93=0,B94=0,B95=0,B96=0,B97=0)),"",-B92/(B93+B94+B95+B96+B97))</f>
        <v/>
      </c>
      <c r="C108" s="27" t="str">
        <f t="shared" ref="C108:K108" si="46">IF(OR(C97=0,AND(C93=0,C94=0,C95=0,C96=0,C97=0)),"",-C92/(C93+C94+C95+C96+C97))</f>
        <v/>
      </c>
      <c r="D108" s="27" t="str">
        <f t="shared" si="46"/>
        <v/>
      </c>
      <c r="E108" s="27" t="str">
        <f t="shared" si="46"/>
        <v/>
      </c>
      <c r="F108" s="27" t="str">
        <f t="shared" si="46"/>
        <v/>
      </c>
      <c r="G108" s="27" t="str">
        <f t="shared" si="46"/>
        <v/>
      </c>
      <c r="H108" s="27" t="str">
        <f t="shared" si="46"/>
        <v/>
      </c>
      <c r="I108" s="27" t="str">
        <f t="shared" si="46"/>
        <v/>
      </c>
      <c r="J108" s="27" t="str">
        <f t="shared" si="46"/>
        <v/>
      </c>
      <c r="K108" s="28" t="str">
        <f t="shared" si="46"/>
        <v/>
      </c>
    </row>
    <row r="109" spans="1:11" ht="13.15" customHeight="1">
      <c r="A109" s="24" t="str">
        <f t="shared" si="41"/>
        <v>DCR Other Source</v>
      </c>
      <c r="B109" s="27" t="str">
        <f>IF(OR(B98=0,AND(B93=0,B94=0,B95=0,B96=0,B97=0,B98=0)),"",-B92/(B93+B94+B95+B96+B97+B98))</f>
        <v/>
      </c>
      <c r="C109" s="27" t="str">
        <f t="shared" ref="C109:K109" si="47">IF(OR(C98=0,AND(C93=0,C94=0,C95=0,C96=0,C97=0,C98=0)),"",-C92/(C93+C94+C95+C96+C97+C98))</f>
        <v/>
      </c>
      <c r="D109" s="27" t="str">
        <f t="shared" si="47"/>
        <v/>
      </c>
      <c r="E109" s="27" t="str">
        <f t="shared" si="47"/>
        <v/>
      </c>
      <c r="F109" s="27" t="str">
        <f t="shared" si="47"/>
        <v/>
      </c>
      <c r="G109" s="27" t="str">
        <f t="shared" si="47"/>
        <v/>
      </c>
      <c r="H109" s="27" t="str">
        <f t="shared" si="47"/>
        <v/>
      </c>
      <c r="I109" s="27" t="str">
        <f t="shared" si="47"/>
        <v/>
      </c>
      <c r="J109" s="27" t="str">
        <f t="shared" si="47"/>
        <v/>
      </c>
      <c r="K109" s="28" t="str">
        <f t="shared" si="47"/>
        <v/>
      </c>
    </row>
    <row r="110" spans="1:11" ht="13.15" customHeight="1">
      <c r="A110" s="24" t="s">
        <v>1345</v>
      </c>
      <c r="B110" s="379">
        <f>IF(OR(B90="Choose mgt fee",B90="Choose One!"),"",(B84+B85+B86+B87+B88) / -(B89+B90+B91))</f>
        <v>1.0460278168175074</v>
      </c>
      <c r="C110" s="379">
        <f t="shared" ref="C110:K110" si="48">IF(OR(C90="Choose mgt fee",C90="Choose One!"),"",(C84+C85+C86+C87+C88) / -(C89+C90+C91))</f>
        <v>1.0365037164790125</v>
      </c>
      <c r="D110" s="379">
        <f t="shared" si="48"/>
        <v>1.0270606341828141</v>
      </c>
      <c r="E110" s="379">
        <f t="shared" si="48"/>
        <v>1.0176984526341821</v>
      </c>
      <c r="F110" s="379">
        <f t="shared" si="48"/>
        <v>1.0084154925900684</v>
      </c>
      <c r="G110" s="379">
        <f t="shared" si="48"/>
        <v>0.99921169306037705</v>
      </c>
      <c r="H110" s="379">
        <f t="shared" si="48"/>
        <v>0.99008693149516069</v>
      </c>
      <c r="I110" s="379">
        <f t="shared" si="48"/>
        <v>0.98103968829731125</v>
      </c>
      <c r="J110" s="379">
        <f t="shared" si="48"/>
        <v>0.97207117399916509</v>
      </c>
      <c r="K110" s="380">
        <f t="shared" si="48"/>
        <v>0.96317862121305564</v>
      </c>
    </row>
    <row r="111" spans="1:11" ht="13.15" customHeight="1">
      <c r="A111" s="24" t="str">
        <f>IF('Part III A-Sources of Funds'!$E$32 = "Neither", "", "First Mortgage Balance")</f>
        <v/>
      </c>
      <c r="B111" s="827">
        <f>IF('Part III A-Sources of Funds'!$H$32="","",-FV('Part III A-Sources of Funds'!$J$32/12,12,B93/12,K76))</f>
        <v>0</v>
      </c>
      <c r="C111" s="827">
        <f>IF('Part III A-Sources of Funds'!$H$32="","",-FV('Part III A-Sources of Funds'!$J$32/12,12,C93/12,B111))</f>
        <v>0</v>
      </c>
      <c r="D111" s="827">
        <f>IF('Part III A-Sources of Funds'!$H$32="","",-FV('Part III A-Sources of Funds'!$J$32/12,12,D93/12,C111))</f>
        <v>0</v>
      </c>
      <c r="E111" s="827">
        <f>IF('Part III A-Sources of Funds'!$H$32="","",-FV('Part III A-Sources of Funds'!$J$32/12,12,E93/12,D111))</f>
        <v>0</v>
      </c>
      <c r="F111" s="827">
        <f>IF('Part III A-Sources of Funds'!$H$32="","",-FV('Part III A-Sources of Funds'!$J$32/12,12,F93/12,E111))</f>
        <v>0</v>
      </c>
      <c r="G111" s="827">
        <f>IF('Part III A-Sources of Funds'!$H$32="","",-FV('Part III A-Sources of Funds'!$J$32/12,12,G93/12,F111))</f>
        <v>0</v>
      </c>
      <c r="H111" s="827">
        <f>IF('Part III A-Sources of Funds'!$H$32="","",-FV('Part III A-Sources of Funds'!$J$32/12,12,H93/12,G111))</f>
        <v>0</v>
      </c>
      <c r="I111" s="827">
        <f>IF('Part III A-Sources of Funds'!$H$32="","",-FV('Part III A-Sources of Funds'!$J$32/12,12,I93/12,H111))</f>
        <v>0</v>
      </c>
      <c r="J111" s="827">
        <f>IF('Part III A-Sources of Funds'!$H$32="","",-FV('Part III A-Sources of Funds'!$J$32/12,12,J93/12,I111))</f>
        <v>0</v>
      </c>
      <c r="K111" s="827">
        <f>IF('Part III A-Sources of Funds'!$H$32="","",-FV('Part III A-Sources of Funds'!$J$32/12,12,K93/12,J111))</f>
        <v>0</v>
      </c>
    </row>
    <row r="112" spans="1:11" ht="13.15" customHeight="1">
      <c r="A112" s="24" t="str">
        <f>IF('Part III A-Sources of Funds'!$E$32 = "Neither", "First Mortgage Balance", "Second Mortgage Balance")</f>
        <v>First Mortgage Balance</v>
      </c>
      <c r="B112" s="824">
        <f>IF('Part III A-Sources of Funds'!$H$33="","",-FV('Part III A-Sources of Funds'!$J$33/12,12,B95/12,K77))</f>
        <v>-4.4587167104705764E-8</v>
      </c>
      <c r="C112" s="824">
        <f>IF('Part III A-Sources of Funds'!$H$33="","",-FV('Part III A-Sources of Funds'!$J$33/12,12,C95/12,B112))</f>
        <v>-4.5714707762039893E-8</v>
      </c>
      <c r="D112" s="824">
        <f>IF('Part III A-Sources of Funds'!$H$33="","",-FV('Part III A-Sources of Funds'!$J$33/12,12,D95/12,C112))</f>
        <v>-4.6870762182783927E-8</v>
      </c>
      <c r="E112" s="824">
        <f>IF('Part III A-Sources of Funds'!$H$33="","",-FV('Part III A-Sources of Funds'!$J$33/12,12,E95/12,D112))</f>
        <v>-4.8056051436017287E-8</v>
      </c>
      <c r="F112" s="824">
        <f>IF('Part III A-Sources of Funds'!$H$33="","",-FV('Part III A-Sources of Funds'!$J$33/12,12,F95/12,E112))</f>
        <v>-4.9271314825543793E-8</v>
      </c>
      <c r="G112" s="824">
        <f>IF('Part III A-Sources of Funds'!$H$33="","",-FV('Part III A-Sources of Funds'!$J$33/12,12,G95/12,F112))</f>
        <v>-5.0517310351019712E-8</v>
      </c>
      <c r="H112" s="824">
        <f>IF('Part III A-Sources of Funds'!$H$33="","",-FV('Part III A-Sources of Funds'!$J$33/12,12,H95/12,G112))</f>
        <v>-5.1794815180742999E-8</v>
      </c>
      <c r="I112" s="824">
        <f>IF('Part III A-Sources of Funds'!$H$33="","",-FV('Part III A-Sources of Funds'!$J$33/12,12,I95/12,H112))</f>
        <v>-5.3104626136398693E-8</v>
      </c>
      <c r="J112" s="824">
        <f>IF('Part III A-Sources of Funds'!$H$33="","",-FV('Part III A-Sources of Funds'!$J$33/12,12,J95/12,I112))</f>
        <v>-5.4447560190062723E-8</v>
      </c>
      <c r="K112" s="824">
        <f>IF('Part III A-Sources of Funds'!$H$33="","",-FV('Part III A-Sources of Funds'!$J$33/12,12,K95/12,J112))</f>
        <v>-5.5824454973774232E-8</v>
      </c>
    </row>
    <row r="113" spans="1:11" ht="13.15" customHeight="1">
      <c r="A113" s="24" t="str">
        <f>IF('Part III A-Sources of Funds'!$E$32 = "Neither", "Second Mortgage Balance", "Third Mortgage Balance")</f>
        <v>Second Mortgage Balance</v>
      </c>
      <c r="B113" s="824" t="str">
        <f>IF('Part III A-Sources of Funds'!$H$34="","",-FV('Part III A-Sources of Funds'!$J$34/12,12,B96/12,K78))</f>
        <v/>
      </c>
      <c r="C113" s="824" t="str">
        <f>IF('Part III A-Sources of Funds'!$H$34="","",-FV('Part III A-Sources of Funds'!$J$34/12,12,C96/12,B113))</f>
        <v/>
      </c>
      <c r="D113" s="824" t="str">
        <f>IF('Part III A-Sources of Funds'!$H$34="","",-FV('Part III A-Sources of Funds'!$J$34/12,12,D96/12,C113))</f>
        <v/>
      </c>
      <c r="E113" s="824" t="str">
        <f>IF('Part III A-Sources of Funds'!$H$34="","",-FV('Part III A-Sources of Funds'!$J$34/12,12,E96/12,D113))</f>
        <v/>
      </c>
      <c r="F113" s="824" t="str">
        <f>IF('Part III A-Sources of Funds'!$H$34="","",-FV('Part III A-Sources of Funds'!$J$34/12,12,F96/12,E113))</f>
        <v/>
      </c>
      <c r="G113" s="824" t="str">
        <f>IF('Part III A-Sources of Funds'!$H$34="","",-FV('Part III A-Sources of Funds'!$J$34/12,12,G96/12,F113))</f>
        <v/>
      </c>
      <c r="H113" s="824" t="str">
        <f>IF('Part III A-Sources of Funds'!$H$34="","",-FV('Part III A-Sources of Funds'!$J$34/12,12,H96/12,G113))</f>
        <v/>
      </c>
      <c r="I113" s="824" t="str">
        <f>IF('Part III A-Sources of Funds'!$H$34="","",-FV('Part III A-Sources of Funds'!$J$34/12,12,I96/12,H113))</f>
        <v/>
      </c>
      <c r="J113" s="824" t="str">
        <f>IF('Part III A-Sources of Funds'!$H$34="","",-FV('Part III A-Sources of Funds'!$J$34/12,12,J96/12,I113))</f>
        <v/>
      </c>
      <c r="K113" s="824" t="str">
        <f>IF('Part III A-Sources of Funds'!$H$34="","",-FV('Part III A-Sources of Funds'!$J$34/12,12,K96/12,J113))</f>
        <v/>
      </c>
    </row>
    <row r="114" spans="1:11" ht="13.15" customHeight="1">
      <c r="A114" s="24" t="s">
        <v>1364</v>
      </c>
      <c r="B114" s="824" t="str">
        <f>IF('Part III A-Sources of Funds'!$H$35="","",-FV('Part III A-Sources of Funds'!$J$35/12,12,B97/12,K79))</f>
        <v/>
      </c>
      <c r="C114" s="824" t="str">
        <f>IF('Part III A-Sources of Funds'!$H$35="","",-FV('Part III A-Sources of Funds'!$J$35/12,12,C97/12,B114))</f>
        <v/>
      </c>
      <c r="D114" s="824" t="str">
        <f>IF('Part III A-Sources of Funds'!$H$35="","",-FV('Part III A-Sources of Funds'!$J$35/12,12,D97/12,C114))</f>
        <v/>
      </c>
      <c r="E114" s="824" t="str">
        <f>IF('Part III A-Sources of Funds'!$H$35="","",-FV('Part III A-Sources of Funds'!$J$35/12,12,E97/12,D114))</f>
        <v/>
      </c>
      <c r="F114" s="824" t="str">
        <f>IF('Part III A-Sources of Funds'!$H$35="","",-FV('Part III A-Sources of Funds'!$J$35/12,12,F97/12,E114))</f>
        <v/>
      </c>
      <c r="G114" s="824" t="str">
        <f>IF('Part III A-Sources of Funds'!$H$35="","",-FV('Part III A-Sources of Funds'!$J$35/12,12,G97/12,F114))</f>
        <v/>
      </c>
      <c r="H114" s="824" t="str">
        <f>IF('Part III A-Sources of Funds'!$H$35="","",-FV('Part III A-Sources of Funds'!$J$35/12,12,H97/12,G114))</f>
        <v/>
      </c>
      <c r="I114" s="824" t="str">
        <f>IF('Part III A-Sources of Funds'!$H$35="","",-FV('Part III A-Sources of Funds'!$J$35/12,12,I97/12,H114))</f>
        <v/>
      </c>
      <c r="J114" s="824" t="str">
        <f>IF('Part III A-Sources of Funds'!$H$35="","",-FV('Part III A-Sources of Funds'!$J$35/12,12,J97/12,I114))</f>
        <v/>
      </c>
      <c r="K114" s="824" t="str">
        <f>IF('Part III A-Sources of Funds'!$H$35="","",-FV('Part III A-Sources of Funds'!$J$35/12,12,K97/12,J114))</f>
        <v/>
      </c>
    </row>
    <row r="115" spans="1:11" ht="13.15" customHeight="1">
      <c r="A115" s="24" t="s">
        <v>1364</v>
      </c>
      <c r="B115" s="824" t="str">
        <f>IF('Part III A-Sources of Funds'!$H$36="","",-FV('Part III A-Sources of Funds'!$J$36/12,12,B98/12,K80))</f>
        <v/>
      </c>
      <c r="C115" s="824" t="str">
        <f>IF('Part III A-Sources of Funds'!$H$36="","",-FV('Part III A-Sources of Funds'!$J$36/12,12,C98/12,B115))</f>
        <v/>
      </c>
      <c r="D115" s="824" t="str">
        <f>IF('Part III A-Sources of Funds'!$H$36="","",-FV('Part III A-Sources of Funds'!$J$36/12,12,D98/12,C115))</f>
        <v/>
      </c>
      <c r="E115" s="824" t="str">
        <f>IF('Part III A-Sources of Funds'!$H$36="","",-FV('Part III A-Sources of Funds'!$J$36/12,12,E98/12,D115))</f>
        <v/>
      </c>
      <c r="F115" s="824" t="str">
        <f>IF('Part III A-Sources of Funds'!$H$36="","",-FV('Part III A-Sources of Funds'!$J$36/12,12,F98/12,E115))</f>
        <v/>
      </c>
      <c r="G115" s="824" t="str">
        <f>IF('Part III A-Sources of Funds'!$H$36="","",-FV('Part III A-Sources of Funds'!$J$36/12,12,G98/12,F115))</f>
        <v/>
      </c>
      <c r="H115" s="824" t="str">
        <f>IF('Part III A-Sources of Funds'!$H$36="","",-FV('Part III A-Sources of Funds'!$J$36/12,12,H98/12,G115))</f>
        <v/>
      </c>
      <c r="I115" s="824" t="str">
        <f>IF('Part III A-Sources of Funds'!$H$36="","",-FV('Part III A-Sources of Funds'!$J$36/12,12,I98/12,H115))</f>
        <v/>
      </c>
      <c r="J115" s="824" t="str">
        <f>IF('Part III A-Sources of Funds'!$H$36="","",-FV('Part III A-Sources of Funds'!$J$36/12,12,J98/12,I115))</f>
        <v/>
      </c>
      <c r="K115" s="824" t="str">
        <f>IF('Part III A-Sources of Funds'!$H$36="","",-FV('Part III A-Sources of Funds'!$J$36/12,12,K98/12,J115))</f>
        <v/>
      </c>
    </row>
    <row r="116" spans="1:11" ht="13.15" customHeight="1">
      <c r="A116" s="29" t="s">
        <v>1899</v>
      </c>
      <c r="B116" s="828">
        <f>IF('Part III A-Sources of Funds'!$H$37="","",-FV('Part III A-Sources of Funds'!$J$37/12,12,B101/12,K81))</f>
        <v>-1.1611097439182951E-2</v>
      </c>
      <c r="C116" s="828">
        <f>IF('Part III A-Sources of Funds'!$H$37="","",-FV('Part III A-Sources of Funds'!$J$37/12,12,C101/12,B116))</f>
        <v>-1.2090174841885669E-2</v>
      </c>
      <c r="D116" s="828">
        <f>IF('Part III A-Sources of Funds'!$H$37="","",-FV('Part III A-Sources of Funds'!$J$37/12,12,D101/12,C116))</f>
        <v>-1.2589019123557628E-2</v>
      </c>
      <c r="E116" s="828">
        <f>IF('Part III A-Sources of Funds'!$H$37="","",-FV('Part III A-Sources of Funds'!$J$37/12,12,E101/12,D116))</f>
        <v>-1.310844587162161E-2</v>
      </c>
      <c r="F116" s="828">
        <f>IF('Part III A-Sources of Funds'!$H$37="","",-FV('Part III A-Sources of Funds'!$J$37/12,12,F101/12,E116))</f>
        <v>-1.3649304324884884E-2</v>
      </c>
      <c r="G116" s="828">
        <f>IF('Part III A-Sources of Funds'!$H$37="","",-FV('Part III A-Sources of Funds'!$J$37/12,12,G101/12,F116))</f>
        <v>-1.4212478762005529E-2</v>
      </c>
      <c r="H116" s="828">
        <f>IF('Part III A-Sources of Funds'!$H$37="","",-FV('Part III A-Sources of Funds'!$J$37/12,12,H101/12,G116))</f>
        <v>-1.4798889947247314E-2</v>
      </c>
      <c r="I116" s="828">
        <f>IF('Part III A-Sources of Funds'!$H$37="","",-FV('Part III A-Sources of Funds'!$J$37/12,12,I101/12,H116))</f>
        <v>-1.5409496635886859E-2</v>
      </c>
      <c r="J116" s="828">
        <f>IF('Part III A-Sources of Funds'!$H$37="","",-FV('Part III A-Sources of Funds'!$J$37/12,12,J101/12,I116))</f>
        <v>-1.6045297141734343E-2</v>
      </c>
      <c r="K116" s="828">
        <f>IF('Part III A-Sources of Funds'!$H$37="","",-FV('Part III A-Sources of Funds'!$J$37/12,12,K101/12,J116))</f>
        <v>-1.6707330969330605E-2</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803114.25371340849</v>
      </c>
      <c r="C119" s="22">
        <f>$B$14*(1+$B$5)^(C118-1)</f>
        <v>819176.53878767637</v>
      </c>
      <c r="D119" s="22">
        <f>$B$14*(1+$B$5)^(D118-1)</f>
        <v>835560.06956343015</v>
      </c>
      <c r="E119" s="22">
        <f>$B$14*(1+$B$5)^(E118-1)</f>
        <v>852271.27095469879</v>
      </c>
      <c r="F119" s="23">
        <f>$B$14*(1+$B$5)^(F118-1)</f>
        <v>869316.69637379271</v>
      </c>
      <c r="G119" s="31"/>
      <c r="H119" s="31"/>
      <c r="I119" s="31"/>
      <c r="J119" s="31"/>
      <c r="K119" s="31"/>
    </row>
    <row r="120" spans="1:11" ht="13.15" customHeight="1">
      <c r="A120" s="24" t="s">
        <v>1632</v>
      </c>
      <c r="B120" s="25">
        <f>$B$15*(1+$B$5)^(B118-1)</f>
        <v>16062.285074268169</v>
      </c>
      <c r="C120" s="25">
        <f>$B$15*(1+$B$5)^(C118-1)</f>
        <v>16383.53077575353</v>
      </c>
      <c r="D120" s="25">
        <f>$B$15*(1+$B$5)^(D118-1)</f>
        <v>16711.201391268602</v>
      </c>
      <c r="E120" s="25">
        <f>$B$15*(1+$B$5)^(E118-1)</f>
        <v>17045.425419093976</v>
      </c>
      <c r="F120" s="26">
        <f>$B$15*(1+$B$5)^(F118-1)</f>
        <v>17386.333927475855</v>
      </c>
      <c r="G120" s="31"/>
      <c r="H120" s="31"/>
      <c r="I120" s="31"/>
      <c r="J120" s="31"/>
      <c r="K120" s="31"/>
    </row>
    <row r="121" spans="1:11" ht="13.15" customHeight="1">
      <c r="A121" s="24" t="s">
        <v>3644</v>
      </c>
      <c r="B121" s="25">
        <f>-(B119+B120)*$B$8</f>
        <v>-57342.357715137368</v>
      </c>
      <c r="C121" s="25">
        <f>-(C119+C120)*$B$8</f>
        <v>-58489.204869440102</v>
      </c>
      <c r="D121" s="25">
        <f>-(D119+D120)*$B$8</f>
        <v>-59658.988966828918</v>
      </c>
      <c r="E121" s="25">
        <f>-(E119+E120)*$B$8</f>
        <v>-60852.168746165495</v>
      </c>
      <c r="F121" s="26">
        <f>-(F119+F120)*$B$8</f>
        <v>-62069.212121088807</v>
      </c>
      <c r="G121" s="31"/>
      <c r="H121" s="31"/>
      <c r="I121" s="31"/>
      <c r="J121" s="31"/>
      <c r="K121" s="31"/>
    </row>
    <row r="122" spans="1:11" ht="13.15" customHeight="1">
      <c r="A122" s="24" t="s">
        <v>61</v>
      </c>
      <c r="B122" s="830"/>
      <c r="C122" s="830"/>
      <c r="D122" s="830"/>
      <c r="E122" s="830"/>
      <c r="F122" s="830"/>
      <c r="G122" s="31"/>
      <c r="H122" s="31"/>
      <c r="I122" s="31"/>
      <c r="J122" s="31"/>
      <c r="K122" s="31"/>
    </row>
    <row r="123" spans="1:11" ht="13.15" customHeight="1">
      <c r="A123" s="24" t="s">
        <v>62</v>
      </c>
      <c r="B123" s="830"/>
      <c r="C123" s="830"/>
      <c r="D123" s="830"/>
      <c r="E123" s="830"/>
      <c r="F123" s="830"/>
      <c r="G123" s="31"/>
      <c r="H123" s="31"/>
      <c r="I123" s="31"/>
      <c r="J123" s="31"/>
      <c r="K123" s="31"/>
    </row>
    <row r="124" spans="1:11" ht="13.15" customHeight="1">
      <c r="A124" s="24" t="s">
        <v>948</v>
      </c>
      <c r="B124" s="25">
        <f>$B$19*(1+$B$6)^(B118-1)</f>
        <v>-701581.9202063136</v>
      </c>
      <c r="C124" s="25">
        <f>$B$19*(1+$B$6)^(C118-1)</f>
        <v>-722629.37781250314</v>
      </c>
      <c r="D124" s="25">
        <f>$B$19*(1+$B$6)^(D118-1)</f>
        <v>-744308.25914687803</v>
      </c>
      <c r="E124" s="25">
        <f>$B$19*(1+$B$6)^(E118-1)</f>
        <v>-766637.50692128437</v>
      </c>
      <c r="F124" s="26">
        <f>$B$19*(1+$B$6)^(F118-1)</f>
        <v>-789636.63212892285</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-45710</v>
      </c>
      <c r="C125" s="25">
        <f>IF(AND('Part VII-Pro Forma'!$G$8="Yes",'Part VII-Pro Forma'!$G$9="Yes"),"Choose One!",IF('Part VII-Pro Forma'!$G$8="Yes",ROUND((-$K$8*(1+'Part VII-Pro Forma'!$B$6)^('Part VII-Pro Forma'!C118-1)),),IF('Part VII-Pro Forma'!$G$9="Yes",ROUND((-(SUM(C119:C122)*'Part VII-Pro Forma'!$K$9)),),"Choose mgt fee")))</f>
        <v>-46624</v>
      </c>
      <c r="D125" s="25">
        <f>IF(AND('Part VII-Pro Forma'!$G$8="Yes",'Part VII-Pro Forma'!$G$9="Yes"),"Choose One!",IF('Part VII-Pro Forma'!$G$8="Yes",ROUND((-$K$8*(1+'Part VII-Pro Forma'!$B$6)^('Part VII-Pro Forma'!D118-1)),),IF('Part VII-Pro Forma'!$G$9="Yes",ROUND((-(SUM(D119:D122)*'Part VII-Pro Forma'!$K$9)),),"Choose mgt fee")))</f>
        <v>-47557</v>
      </c>
      <c r="E125" s="25">
        <f>IF(AND('Part VII-Pro Forma'!$G$8="Yes",'Part VII-Pro Forma'!$G$9="Yes"),"Choose One!",IF('Part VII-Pro Forma'!$G$8="Yes",ROUND((-$K$8*(1+'Part VII-Pro Forma'!$B$6)^('Part VII-Pro Forma'!E118-1)),),IF('Part VII-Pro Forma'!$G$9="Yes",ROUND((-(SUM(E119:E122)*'Part VII-Pro Forma'!$K$9)),),"Choose mgt fee")))</f>
        <v>-48508</v>
      </c>
      <c r="F125" s="25">
        <f>IF(AND('Part VII-Pro Forma'!$G$8="Yes",'Part VII-Pro Forma'!$G$9="Yes"),"Choose One!",IF('Part VII-Pro Forma'!$G$8="Yes",ROUND((-$K$8*(1+'Part VII-Pro Forma'!$B$6)^('Part VII-Pro Forma'!F118-1)),),IF('Part VII-Pro Forma'!$G$9="Yes",ROUND((-(SUM(F119:F122)*'Part VII-Pro Forma'!$K$9)),),"Choose mgt fee")))</f>
        <v>-49478</v>
      </c>
      <c r="G125" s="31"/>
      <c r="H125" s="31"/>
      <c r="I125" s="31"/>
      <c r="J125" s="31"/>
      <c r="K125" s="31"/>
    </row>
    <row r="126" spans="1:11" ht="13.15" customHeight="1">
      <c r="A126" s="24" t="s">
        <v>1862</v>
      </c>
      <c r="B126" s="25">
        <f>$B$21*(1+$B$7)^(B118-1)</f>
        <v>-50972.511894982839</v>
      </c>
      <c r="C126" s="25">
        <f>$B$21*(1+$B$7)^(C118-1)</f>
        <v>-52501.687251832336</v>
      </c>
      <c r="D126" s="25">
        <f>$B$21*(1+$B$7)^(D118-1)</f>
        <v>-54076.737869387296</v>
      </c>
      <c r="E126" s="25">
        <f>$B$21*(1+$B$7)^(E118-1)</f>
        <v>-55699.040005468916</v>
      </c>
      <c r="F126" s="26">
        <f>$B$21*(1+$B$7)^(F118-1)</f>
        <v>-57370.011205632974</v>
      </c>
      <c r="G126" s="31"/>
      <c r="H126" s="31"/>
      <c r="I126" s="31"/>
      <c r="J126" s="31"/>
      <c r="K126" s="31"/>
    </row>
    <row r="127" spans="1:11" ht="13.15" customHeight="1">
      <c r="A127" s="24" t="s">
        <v>1863</v>
      </c>
      <c r="B127" s="25">
        <f>SUM(B119:B126)</f>
        <v>-36430.251028757259</v>
      </c>
      <c r="C127" s="25">
        <f>SUM(C119:C126)</f>
        <v>-44684.200370345614</v>
      </c>
      <c r="D127" s="25">
        <f>SUM(D119:D126)</f>
        <v>-53329.715028395447</v>
      </c>
      <c r="E127" s="25">
        <f>SUM(E119:E126)</f>
        <v>-62380.019299126034</v>
      </c>
      <c r="F127" s="26">
        <f>SUM(F119:F126)</f>
        <v>-71850.825154376013</v>
      </c>
      <c r="G127" s="31"/>
      <c r="H127" s="31"/>
      <c r="I127" s="31"/>
      <c r="J127" s="31"/>
      <c r="K127" s="31"/>
    </row>
    <row r="128" spans="1:11" ht="13.15" customHeight="1">
      <c r="A128" s="24" t="str">
        <f t="shared" ref="A128:A133" si="49">$A93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49"/>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49"/>
        <v>D/S Mortgage A</v>
      </c>
      <c r="B130" s="824"/>
      <c r="C130" s="824"/>
      <c r="D130" s="824"/>
      <c r="E130" s="824"/>
      <c r="F130" s="824"/>
      <c r="G130" s="31"/>
      <c r="H130" s="31"/>
      <c r="I130" s="31"/>
      <c r="J130" s="31"/>
      <c r="K130" s="31"/>
    </row>
    <row r="131" spans="1:12" ht="13.15" customHeight="1">
      <c r="A131" s="24" t="str">
        <f t="shared" si="49"/>
        <v>D/S Mortgage B</v>
      </c>
      <c r="B131" s="824">
        <f>IF('Part III A-Sources of Funds'!$M$34="", 0,-'Part III A-Sources of Funds'!$M$34)</f>
        <v>0</v>
      </c>
      <c r="C131" s="824">
        <f>IF('Part III A-Sources of Funds'!$M$34="", 0,-'Part III A-Sources of Funds'!$M$34)</f>
        <v>0</v>
      </c>
      <c r="D131" s="824">
        <f>IF('Part III A-Sources of Funds'!$M$34="", 0,-'Part III A-Sources of Funds'!$M$34)</f>
        <v>0</v>
      </c>
      <c r="E131" s="824">
        <f>IF('Part III A-Sources of Funds'!$M$34="", 0,-'Part III A-Sources of Funds'!$M$34)</f>
        <v>0</v>
      </c>
      <c r="F131" s="824">
        <f>IF('Part III A-Sources of Funds'!$M$34="", 0,-'Part III A-Sources of Funds'!$M$34)</f>
        <v>0</v>
      </c>
      <c r="G131" s="31"/>
      <c r="H131" s="31"/>
      <c r="I131" s="31"/>
      <c r="J131" s="31"/>
      <c r="K131" s="31"/>
    </row>
    <row r="132" spans="1:12" ht="13.15" customHeight="1">
      <c r="A132" s="24" t="str">
        <f t="shared" si="49"/>
        <v>D/S Other Source</v>
      </c>
      <c r="B132" s="824">
        <f>IF('Part III A-Sources of Funds'!$M$35="", 0,-'Part III A-Sources of Funds'!$M$35)</f>
        <v>0</v>
      </c>
      <c r="C132" s="824">
        <f>IF('Part III A-Sources of Funds'!$M$35="", 0,-'Part III A-Sources of Funds'!$M$35)</f>
        <v>0</v>
      </c>
      <c r="D132" s="824">
        <f>IF('Part III A-Sources of Funds'!$M$35="", 0,-'Part III A-Sources of Funds'!$M$35)</f>
        <v>0</v>
      </c>
      <c r="E132" s="824">
        <f>IF('Part III A-Sources of Funds'!$M$35="", 0,-'Part III A-Sources of Funds'!$M$35)</f>
        <v>0</v>
      </c>
      <c r="F132" s="824">
        <f>IF('Part III A-Sources of Funds'!$M$35="", 0,-'Part III A-Sources of Funds'!$M$35)</f>
        <v>0</v>
      </c>
      <c r="G132" s="31"/>
      <c r="H132" s="31"/>
      <c r="I132" s="31"/>
      <c r="J132" s="31"/>
      <c r="K132" s="31"/>
    </row>
    <row r="133" spans="1:12" ht="13.15" customHeight="1">
      <c r="A133" s="24" t="str">
        <f t="shared" si="49"/>
        <v>D/S Grant from fdn / charity</v>
      </c>
      <c r="B133" s="824">
        <f>IF('Part III A-Sources of Funds'!$M$36="", 0,-'Part III A-Sources of Funds'!$M$36)</f>
        <v>0</v>
      </c>
      <c r="C133" s="824">
        <f>IF('Part III A-Sources of Funds'!$M$36="", 0,-'Part III A-Sources of Funds'!$M$36)</f>
        <v>0</v>
      </c>
      <c r="D133" s="824">
        <f>IF('Part III A-Sources of Funds'!$M$36="", 0,-'Part III A-Sources of Funds'!$M$36)</f>
        <v>0</v>
      </c>
      <c r="E133" s="824">
        <f>IF('Part III A-Sources of Funds'!$M$36="", 0,-'Part III A-Sources of Funds'!$M$36)</f>
        <v>0</v>
      </c>
      <c r="F133" s="824">
        <f>IF('Part III A-Sources of Funds'!$M$36="", 0,-'Part III A-Sources of Funds'!$M$36)</f>
        <v>0</v>
      </c>
      <c r="G133" s="31"/>
      <c r="H133" s="31"/>
      <c r="I133" s="31"/>
      <c r="J133" s="31"/>
      <c r="K133" s="31"/>
    </row>
    <row r="134" spans="1:12" ht="13.15" customHeight="1">
      <c r="A134" s="24" t="s">
        <v>1336</v>
      </c>
      <c r="B134" s="825"/>
      <c r="C134" s="825"/>
      <c r="D134" s="825"/>
      <c r="E134" s="825"/>
      <c r="F134" s="825"/>
      <c r="G134" s="31"/>
      <c r="H134" s="31"/>
      <c r="I134" s="31"/>
      <c r="J134" s="31"/>
      <c r="K134" s="31"/>
    </row>
    <row r="135" spans="1:12" ht="13.15" customHeight="1">
      <c r="A135" s="24" t="s">
        <v>1807</v>
      </c>
      <c r="B135" s="824"/>
      <c r="C135" s="824"/>
      <c r="D135" s="824"/>
      <c r="E135" s="824"/>
      <c r="F135" s="824"/>
      <c r="G135" s="31"/>
      <c r="H135" s="31"/>
      <c r="I135" s="31"/>
      <c r="J135" s="31"/>
      <c r="K135" s="31"/>
    </row>
    <row r="136" spans="1:12" ht="13.15" customHeight="1">
      <c r="A136" s="24" t="s">
        <v>1864</v>
      </c>
      <c r="B136" s="824">
        <f>IF('Part III A-Sources of Funds'!$M$37="", 0,-'Part III A-Sources of Funds'!$M$37)</f>
        <v>0</v>
      </c>
      <c r="C136" s="824">
        <f>IF('Part III A-Sources of Funds'!$M$37="", 0,-'Part III A-Sources of Funds'!$M$37)</f>
        <v>0</v>
      </c>
      <c r="D136" s="824">
        <f>IF('Part III A-Sources of Funds'!$M$37="", 0,-'Part III A-Sources of Funds'!$M$37)</f>
        <v>0</v>
      </c>
      <c r="E136" s="824">
        <f>IF('Part III A-Sources of Funds'!$M$37="", 0,-'Part III A-Sources of Funds'!$M$37)</f>
        <v>0</v>
      </c>
      <c r="F136" s="824">
        <f>IF('Part III A-Sources of Funds'!$M$37="", 0,-'Part III A-Sources of Funds'!$M$37)</f>
        <v>0</v>
      </c>
      <c r="G136" s="31"/>
      <c r="H136" s="31"/>
      <c r="I136" s="31"/>
      <c r="J136" s="31"/>
      <c r="K136" s="31"/>
    </row>
    <row r="137" spans="1:12" ht="13.15" customHeight="1">
      <c r="A137" s="24" t="s">
        <v>1808</v>
      </c>
      <c r="B137" s="828">
        <f>+K102</f>
        <v>0</v>
      </c>
      <c r="C137" s="828">
        <f>+B137</f>
        <v>0</v>
      </c>
      <c r="D137" s="828">
        <f>+C137</f>
        <v>0</v>
      </c>
      <c r="E137" s="828">
        <f>+D137</f>
        <v>0</v>
      </c>
      <c r="F137" s="828">
        <f>+E137</f>
        <v>0</v>
      </c>
      <c r="G137" s="31"/>
      <c r="H137" s="31"/>
      <c r="I137" s="31"/>
      <c r="J137" s="31"/>
      <c r="K137" s="31"/>
    </row>
    <row r="138" spans="1:12" ht="13.15" customHeight="1">
      <c r="A138" s="24" t="s">
        <v>1809</v>
      </c>
      <c r="B138" s="25">
        <f>SUM(B127:B137)</f>
        <v>-36430.251028757259</v>
      </c>
      <c r="C138" s="25">
        <f>SUM(C127:C137)</f>
        <v>-44684.200370345614</v>
      </c>
      <c r="D138" s="25">
        <f>SUM(D127:D137)</f>
        <v>-53329.715028395447</v>
      </c>
      <c r="E138" s="25">
        <f>SUM(E127:E137)</f>
        <v>-62380.019299126034</v>
      </c>
      <c r="F138" s="26">
        <f>SUM(F127:F137)</f>
        <v>-71850.825154376013</v>
      </c>
      <c r="G138" s="31"/>
      <c r="H138" s="31"/>
      <c r="I138" s="31"/>
      <c r="J138" s="31"/>
      <c r="K138" s="31"/>
    </row>
    <row r="139" spans="1:12" ht="13.15" customHeight="1">
      <c r="A139" s="24" t="str">
        <f t="shared" ref="A139:A144" si="50">$A104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0"/>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0"/>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0"/>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0"/>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0"/>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0.95436317896206291</v>
      </c>
      <c r="C145" s="379">
        <f>IF(OR(C125="Choose mgt fee",C125="Choose One!"),"",(C119+C120+C121+C122+C123) / -(C124+C125+C126))</f>
        <v>0.94562345610021004</v>
      </c>
      <c r="D145" s="379">
        <f>IF(OR(D125="Choose mgt fee",D125="Choose One!"),"",(D119+D120+D121+D122+D123) / -(D124+D125+D126))</f>
        <v>0.93695818954905252</v>
      </c>
      <c r="E145" s="379">
        <f>IF(OR(E125="Choose mgt fee",E125="Choose One!"),"",(E119+E120+E121+E122+E123) / -(E124+E125+E126))</f>
        <v>0.92836836434324854</v>
      </c>
      <c r="F145" s="380">
        <f>IF(OR(F125="Choose mgt fee",F125="Choose One!"),"",(F119+F120+F121+F122+F123) / -(F124+F125+F126))</f>
        <v>0.91985269832719019</v>
      </c>
      <c r="G145" s="31"/>
      <c r="H145" s="31"/>
      <c r="I145" s="31"/>
      <c r="J145" s="31"/>
      <c r="K145" s="31"/>
    </row>
    <row r="146" spans="1:14" ht="13.15" customHeight="1">
      <c r="A146" s="24" t="str">
        <f>IF('Part III A-Sources of Funds'!$E$32 = "Neither", "", "First Mortgage Balance")</f>
        <v/>
      </c>
      <c r="B146" s="827">
        <f>IF('Part III A-Sources of Funds'!$H$32="","",-FV('Part III A-Sources of Funds'!$J$32/12,12,B128/12,K111))</f>
        <v>0</v>
      </c>
      <c r="C146" s="827">
        <f>IF('Part III A-Sources of Funds'!$H$32="","",-FV('Part III A-Sources of Funds'!$J$32/12,12,C128/12,B146))</f>
        <v>0</v>
      </c>
      <c r="D146" s="827">
        <f>IF('Part III A-Sources of Funds'!$H$32="","",-FV('Part III A-Sources of Funds'!$J$32/12,12,D128/12,C146))</f>
        <v>0</v>
      </c>
      <c r="E146" s="827">
        <f>IF('Part III A-Sources of Funds'!$H$32="","",-FV('Part III A-Sources of Funds'!$J$32/12,12,E128/12,D146))</f>
        <v>0</v>
      </c>
      <c r="F146" s="82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824">
        <f>IF('Part III A-Sources of Funds'!$H$33="","",-FV('Part III A-Sources of Funds'!$J$33/12,12,B130/12,K112))</f>
        <v>-5.7236169301994147E-8</v>
      </c>
      <c r="C147" s="824">
        <f>IF('Part III A-Sources of Funds'!$H$33="","",-FV('Part III A-Sources of Funds'!$J$33/12,12,C130/12,B147))</f>
        <v>-5.8683583707275946E-8</v>
      </c>
      <c r="D147" s="824">
        <f>IF('Part III A-Sources of Funds'!$H$33="","",-FV('Part III A-Sources of Funds'!$J$33/12,12,D130/12,C147))</f>
        <v>-6.0167600989482705E-8</v>
      </c>
      <c r="E147" s="824">
        <f>IF('Part III A-Sources of Funds'!$H$33="","",-FV('Part III A-Sources of Funds'!$J$33/12,12,E130/12,D147))</f>
        <v>-6.1689146778893015E-8</v>
      </c>
      <c r="F147" s="824">
        <f>IF('Part III A-Sources of Funds'!$H$33="","",-FV('Part III A-Sources of Funds'!$J$33/12,12,F130/12,E147))</f>
        <v>-6.3249170113546931E-8</v>
      </c>
      <c r="G147" s="31"/>
      <c r="H147" s="31"/>
      <c r="I147" s="31"/>
      <c r="J147" s="31"/>
      <c r="K147" s="31"/>
    </row>
    <row r="148" spans="1:14" ht="13.15" customHeight="1">
      <c r="A148" s="24" t="str">
        <f>IF('Part III A-Sources of Funds'!$E$32 = "Neither", "Second Mortgage Balance", "Third Mortgage Balance")</f>
        <v>Second Mortgage Balance</v>
      </c>
      <c r="B148" s="824" t="str">
        <f>IF('Part III A-Sources of Funds'!$H$34="","",-FV('Part III A-Sources of Funds'!$J$34/12,12,B131/12,K113))</f>
        <v/>
      </c>
      <c r="C148" s="824" t="str">
        <f>IF('Part III A-Sources of Funds'!$H$34="","",-FV('Part III A-Sources of Funds'!$J$34/12,12,C131/12,B148))</f>
        <v/>
      </c>
      <c r="D148" s="824" t="str">
        <f>IF('Part III A-Sources of Funds'!$H$34="","",-FV('Part III A-Sources of Funds'!$J$34/12,12,D131/12,C148))</f>
        <v/>
      </c>
      <c r="E148" s="824" t="str">
        <f>IF('Part III A-Sources of Funds'!$H$34="","",-FV('Part III A-Sources of Funds'!$J$34/12,12,E131/12,D148))</f>
        <v/>
      </c>
      <c r="F148" s="824" t="str">
        <f>IF('Part III A-Sources of Funds'!$H$34="","",-FV('Part III A-Sources of Funds'!$J$34/12,12,F131/12,E148))</f>
        <v/>
      </c>
      <c r="G148" s="31"/>
      <c r="H148" s="31"/>
      <c r="I148" s="31"/>
      <c r="J148" s="31"/>
      <c r="K148" s="31"/>
    </row>
    <row r="149" spans="1:14" ht="13.15" customHeight="1">
      <c r="A149" s="24" t="s">
        <v>1364</v>
      </c>
      <c r="B149" s="824" t="str">
        <f>IF('Part III A-Sources of Funds'!$H$35="","",-FV('Part III A-Sources of Funds'!$J$35/12,12,B132/12,K114))</f>
        <v/>
      </c>
      <c r="C149" s="824" t="str">
        <f>IF('Part III A-Sources of Funds'!$H$35="","",-FV('Part III A-Sources of Funds'!$J$35/12,12,C132/12,B149))</f>
        <v/>
      </c>
      <c r="D149" s="824" t="str">
        <f>IF('Part III A-Sources of Funds'!$H$35="","",-FV('Part III A-Sources of Funds'!$J$35/12,12,D132/12,C149))</f>
        <v/>
      </c>
      <c r="E149" s="824" t="str">
        <f>IF('Part III A-Sources of Funds'!$H$35="","",-FV('Part III A-Sources of Funds'!$J$35/12,12,E132/12,D149))</f>
        <v/>
      </c>
      <c r="F149" s="824" t="str">
        <f>IF('Part III A-Sources of Funds'!$H$35="","",-FV('Part III A-Sources of Funds'!$J$35/12,12,F132/12,E149))</f>
        <v/>
      </c>
      <c r="G149" s="31"/>
      <c r="H149" s="31"/>
      <c r="I149" s="31"/>
      <c r="J149" s="31"/>
      <c r="K149" s="31"/>
    </row>
    <row r="150" spans="1:14" ht="13.15" customHeight="1">
      <c r="A150" s="24" t="s">
        <v>1364</v>
      </c>
      <c r="B150" s="824" t="str">
        <f>IF('Part III A-Sources of Funds'!$H$36="","",-FV('Part III A-Sources of Funds'!$J$36/12,12,B133/12,K115))</f>
        <v/>
      </c>
      <c r="C150" s="824" t="str">
        <f>IF('Part III A-Sources of Funds'!$H$36="","",-FV('Part III A-Sources of Funds'!$J$36/12,12,C133/12,B150))</f>
        <v/>
      </c>
      <c r="D150" s="824" t="str">
        <f>IF('Part III A-Sources of Funds'!$H$36="","",-FV('Part III A-Sources of Funds'!$J$36/12,12,D133/12,C150))</f>
        <v/>
      </c>
      <c r="E150" s="824" t="str">
        <f>IF('Part III A-Sources of Funds'!$H$36="","",-FV('Part III A-Sources of Funds'!$J$36/12,12,E133/12,D150))</f>
        <v/>
      </c>
      <c r="F150" s="824" t="str">
        <f>IF('Part III A-Sources of Funds'!$H$36="","",-FV('Part III A-Sources of Funds'!$J$36/12,12,F133/12,E150))</f>
        <v/>
      </c>
      <c r="G150" s="31"/>
      <c r="H150" s="31"/>
      <c r="I150" s="31"/>
      <c r="J150" s="31"/>
      <c r="K150" s="31"/>
    </row>
    <row r="151" spans="1:14" ht="13.15" customHeight="1">
      <c r="A151" s="29" t="s">
        <v>1899</v>
      </c>
      <c r="B151" s="828">
        <f>IF('Part III A-Sources of Funds'!$H$37="","",-FV('Part III A-Sources of Funds'!$J$37/12,12,B136/12,K116))</f>
        <v>-1.7396680513489183E-2</v>
      </c>
      <c r="C151" s="828">
        <f>IF('Part III A-Sources of Funds'!$H$37="","",-FV('Part III A-Sources of Funds'!$J$37/12,12,C136/12,B151))</f>
        <v>-1.8114472828961978E-2</v>
      </c>
      <c r="D151" s="828">
        <f>IF('Part III A-Sources of Funds'!$H$37="","",-FV('Part III A-Sources of Funds'!$J$37/12,12,D136/12,C151))</f>
        <v>-1.8861881473121865E-2</v>
      </c>
      <c r="E151" s="828">
        <f>IF('Part III A-Sources of Funds'!$H$37="","",-FV('Part III A-Sources of Funds'!$J$37/12,12,E136/12,D151))</f>
        <v>-1.964012842467493E-2</v>
      </c>
      <c r="F151" s="828">
        <f>IF('Part III A-Sources of Funds'!$H$37="","",-FV('Part III A-Sources of Funds'!$J$37/12,12,F136/12,E151))</f>
        <v>-2.045048608153938E-2</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018" t="s">
        <v>4013</v>
      </c>
      <c r="B155" s="1386"/>
      <c r="C155" s="1386"/>
      <c r="D155" s="1386"/>
      <c r="E155" s="1386"/>
      <c r="F155" s="1387"/>
      <c r="G155" s="1021"/>
      <c r="H155" s="1386"/>
      <c r="I155" s="1386"/>
      <c r="J155" s="1386"/>
      <c r="K155" s="1387"/>
    </row>
    <row r="156" spans="1:14" s="2" customFormat="1" ht="73.900000000000006" customHeight="1">
      <c r="A156" s="1015" t="s">
        <v>4043</v>
      </c>
      <c r="B156" s="1381"/>
      <c r="C156" s="1381"/>
      <c r="D156" s="1381"/>
      <c r="E156" s="1381"/>
      <c r="F156" s="1382"/>
      <c r="G156" s="1012"/>
      <c r="H156" s="1381"/>
      <c r="I156" s="1381"/>
      <c r="J156" s="1381"/>
      <c r="K156" s="1382"/>
      <c r="L156" s="9"/>
      <c r="M156" s="9"/>
      <c r="N156" s="9"/>
    </row>
    <row r="157" spans="1:14" s="2" customFormat="1" ht="73.900000000000006" customHeight="1">
      <c r="A157" s="1015"/>
      <c r="B157" s="1381"/>
      <c r="C157" s="1381"/>
      <c r="D157" s="1381"/>
      <c r="E157" s="1381"/>
      <c r="F157" s="1382"/>
      <c r="G157" s="1012"/>
      <c r="H157" s="1381"/>
      <c r="I157" s="1381"/>
      <c r="J157" s="1381"/>
      <c r="K157" s="1382"/>
      <c r="L157" s="9"/>
      <c r="M157" s="9"/>
      <c r="N157" s="9"/>
    </row>
    <row r="158" spans="1:14" s="2" customFormat="1" ht="73.900000000000006" customHeight="1">
      <c r="A158" s="1024"/>
      <c r="B158" s="1379"/>
      <c r="C158" s="1379"/>
      <c r="D158" s="1379"/>
      <c r="E158" s="1379"/>
      <c r="F158" s="1380"/>
      <c r="G158" s="1027"/>
      <c r="H158" s="1379"/>
      <c r="I158" s="1379"/>
      <c r="J158" s="1379"/>
      <c r="K158" s="138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5"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abSelected="1" topLeftCell="A173" zoomScale="120" zoomScaleNormal="120" zoomScaleSheetLayoutView="40" workbookViewId="0">
      <selection activeCell="A192"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1208" t="str">
        <f>CONCATENATE("PART EIGHT - THRESHOLD CRITERIA","  -  ",'Part I-Project Information'!$O$4," ",'Part I-Project Information'!$F$22,", ",'Part I-Project Information'!F24,", ",'Part I-Project Information'!J25," County")</f>
        <v>PART EIGHT - THRESHOLD CRITERIA  -  2011-012 Veteran Senior Housing - Assisted Living, Decatur, DeKalb County</v>
      </c>
      <c r="B1" s="1209"/>
      <c r="C1" s="1209"/>
      <c r="D1" s="1209"/>
      <c r="E1" s="1209"/>
      <c r="F1" s="1209"/>
      <c r="G1" s="1209"/>
      <c r="H1" s="1209"/>
      <c r="I1" s="1209"/>
      <c r="J1" s="1209"/>
      <c r="K1" s="1209"/>
      <c r="L1" s="1209"/>
      <c r="M1" s="1209"/>
      <c r="N1" s="1209"/>
      <c r="O1" s="1209"/>
      <c r="P1" s="1209"/>
      <c r="Q1" s="1209"/>
    </row>
    <row r="2" spans="1:20" s="31" customFormat="1" ht="3" customHeight="1">
      <c r="S2" s="45"/>
      <c r="T2" s="45"/>
    </row>
    <row r="3" spans="1:20" ht="16.899999999999999" customHeight="1">
      <c r="A3" s="146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62"/>
      <c r="C3" s="1462"/>
      <c r="D3" s="1462"/>
      <c r="E3" s="1462"/>
      <c r="F3" s="1462"/>
      <c r="G3" s="1462"/>
      <c r="H3" s="146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62"/>
      <c r="J3" s="1462"/>
      <c r="K3" s="1462"/>
      <c r="L3" s="1462"/>
      <c r="M3" s="1462"/>
      <c r="N3" s="1463"/>
      <c r="O3" s="1464" t="s">
        <v>1530</v>
      </c>
      <c r="P3" s="1465"/>
      <c r="Q3" s="302" t="s">
        <v>2889</v>
      </c>
    </row>
    <row r="4" spans="1:20" ht="3" customHeight="1">
      <c r="A4" s="737"/>
      <c r="B4" s="1453"/>
      <c r="C4" s="1453"/>
      <c r="D4" s="1453"/>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457"/>
      <c r="Q6" s="1458"/>
    </row>
    <row r="7" spans="1:20" ht="12.6" customHeight="1">
      <c r="A7" s="174" t="s">
        <v>366</v>
      </c>
      <c r="C7" s="175"/>
      <c r="D7" s="175"/>
    </row>
    <row r="8" spans="1:20" ht="24.6" customHeight="1">
      <c r="A8" s="1459" t="s">
        <v>2118</v>
      </c>
      <c r="B8" s="1460"/>
      <c r="C8" s="1460"/>
      <c r="D8" s="1460"/>
      <c r="E8" s="1460"/>
      <c r="F8" s="1460"/>
      <c r="G8" s="1460"/>
      <c r="H8" s="1460"/>
      <c r="I8" s="1460"/>
      <c r="J8" s="1460"/>
      <c r="K8" s="1460"/>
      <c r="L8" s="1460"/>
      <c r="M8" s="1460"/>
      <c r="N8" s="1460"/>
      <c r="O8" s="1460"/>
      <c r="P8" s="1460"/>
      <c r="Q8" s="1461"/>
      <c r="R8" s="1466" t="s">
        <v>3112</v>
      </c>
      <c r="S8" s="1466"/>
    </row>
    <row r="9" spans="1:20" ht="24.6" customHeight="1">
      <c r="A9" s="1454" t="s">
        <v>289</v>
      </c>
      <c r="B9" s="1455"/>
      <c r="C9" s="1455"/>
      <c r="D9" s="1455"/>
      <c r="E9" s="1455"/>
      <c r="F9" s="1455"/>
      <c r="G9" s="1455"/>
      <c r="H9" s="1455"/>
      <c r="I9" s="1455"/>
      <c r="J9" s="1455"/>
      <c r="K9" s="1455"/>
      <c r="L9" s="1455"/>
      <c r="M9" s="1455"/>
      <c r="N9" s="1455"/>
      <c r="O9" s="1455"/>
      <c r="P9" s="1455"/>
      <c r="Q9" s="1456"/>
      <c r="R9" s="1466"/>
      <c r="S9" s="1466"/>
    </row>
    <row r="10" spans="1:20" ht="24.6" customHeight="1">
      <c r="A10" s="1454" t="s">
        <v>2114</v>
      </c>
      <c r="B10" s="1455"/>
      <c r="C10" s="1455"/>
      <c r="D10" s="1455"/>
      <c r="E10" s="1455"/>
      <c r="F10" s="1455"/>
      <c r="G10" s="1455"/>
      <c r="H10" s="1455"/>
      <c r="I10" s="1455"/>
      <c r="J10" s="1455"/>
      <c r="K10" s="1455"/>
      <c r="L10" s="1455"/>
      <c r="M10" s="1455"/>
      <c r="N10" s="1455"/>
      <c r="O10" s="1455"/>
      <c r="P10" s="1455"/>
      <c r="Q10" s="1456"/>
      <c r="R10" s="1466"/>
      <c r="S10" s="1466"/>
    </row>
    <row r="11" spans="1:20" ht="24.6" customHeight="1">
      <c r="A11" s="1454" t="s">
        <v>2115</v>
      </c>
      <c r="B11" s="1455"/>
      <c r="C11" s="1455"/>
      <c r="D11" s="1455"/>
      <c r="E11" s="1455"/>
      <c r="F11" s="1455"/>
      <c r="G11" s="1455"/>
      <c r="H11" s="1455"/>
      <c r="I11" s="1455"/>
      <c r="J11" s="1455"/>
      <c r="K11" s="1455"/>
      <c r="L11" s="1455"/>
      <c r="M11" s="1455"/>
      <c r="N11" s="1455"/>
      <c r="O11" s="1455"/>
      <c r="P11" s="1455"/>
      <c r="Q11" s="1456"/>
      <c r="R11" s="1466"/>
      <c r="S11" s="1466"/>
    </row>
    <row r="12" spans="1:20" ht="24.6" customHeight="1">
      <c r="A12" s="1454" t="s">
        <v>2116</v>
      </c>
      <c r="B12" s="1455"/>
      <c r="C12" s="1455"/>
      <c r="D12" s="1455"/>
      <c r="E12" s="1455"/>
      <c r="F12" s="1455"/>
      <c r="G12" s="1455"/>
      <c r="H12" s="1455"/>
      <c r="I12" s="1455"/>
      <c r="J12" s="1455"/>
      <c r="K12" s="1455"/>
      <c r="L12" s="1455"/>
      <c r="M12" s="1455"/>
      <c r="N12" s="1455"/>
      <c r="O12" s="1455"/>
      <c r="P12" s="1455"/>
      <c r="Q12" s="1456"/>
      <c r="R12" s="742"/>
      <c r="S12" s="742"/>
    </row>
    <row r="13" spans="1:20" ht="24.6" customHeight="1">
      <c r="A13" s="1454" t="s">
        <v>2117</v>
      </c>
      <c r="B13" s="1455"/>
      <c r="C13" s="1455"/>
      <c r="D13" s="1455"/>
      <c r="E13" s="1455"/>
      <c r="F13" s="1455"/>
      <c r="G13" s="1455"/>
      <c r="H13" s="1455"/>
      <c r="I13" s="1455"/>
      <c r="J13" s="1455"/>
      <c r="K13" s="1455"/>
      <c r="L13" s="1455"/>
      <c r="M13" s="1455"/>
      <c r="N13" s="1455"/>
      <c r="O13" s="1455"/>
      <c r="P13" s="1455"/>
      <c r="Q13" s="1456"/>
      <c r="R13" s="742"/>
      <c r="S13" s="742"/>
    </row>
    <row r="14" spans="1:20" ht="24.6" customHeight="1">
      <c r="A14" s="1454" t="s">
        <v>2119</v>
      </c>
      <c r="B14" s="1455"/>
      <c r="C14" s="1455"/>
      <c r="D14" s="1455"/>
      <c r="E14" s="1455"/>
      <c r="F14" s="1455"/>
      <c r="G14" s="1455"/>
      <c r="H14" s="1455"/>
      <c r="I14" s="1455"/>
      <c r="J14" s="1455"/>
      <c r="K14" s="1455"/>
      <c r="L14" s="1455"/>
      <c r="M14" s="1455"/>
      <c r="N14" s="1455"/>
      <c r="O14" s="1455"/>
      <c r="P14" s="1455"/>
      <c r="Q14" s="1456"/>
    </row>
    <row r="15" spans="1:20" ht="24.6" customHeight="1">
      <c r="A15" s="1454" t="s">
        <v>3099</v>
      </c>
      <c r="B15" s="1455"/>
      <c r="C15" s="1455"/>
      <c r="D15" s="1455"/>
      <c r="E15" s="1455"/>
      <c r="F15" s="1455"/>
      <c r="G15" s="1455"/>
      <c r="H15" s="1455"/>
      <c r="I15" s="1455"/>
      <c r="J15" s="1455"/>
      <c r="K15" s="1455"/>
      <c r="L15" s="1455"/>
      <c r="M15" s="1455"/>
      <c r="N15" s="1455"/>
      <c r="O15" s="1455"/>
      <c r="P15" s="1455"/>
      <c r="Q15" s="1456"/>
      <c r="R15" s="1466" t="s">
        <v>3112</v>
      </c>
      <c r="S15" s="1466"/>
    </row>
    <row r="16" spans="1:20" ht="24.6" customHeight="1">
      <c r="A16" s="1454" t="s">
        <v>3100</v>
      </c>
      <c r="B16" s="1455"/>
      <c r="C16" s="1455"/>
      <c r="D16" s="1455"/>
      <c r="E16" s="1455"/>
      <c r="F16" s="1455"/>
      <c r="G16" s="1455"/>
      <c r="H16" s="1455"/>
      <c r="I16" s="1455"/>
      <c r="J16" s="1455"/>
      <c r="K16" s="1455"/>
      <c r="L16" s="1455"/>
      <c r="M16" s="1455"/>
      <c r="N16" s="1455"/>
      <c r="O16" s="1455"/>
      <c r="P16" s="1455"/>
      <c r="Q16" s="1456"/>
      <c r="R16" s="1466"/>
      <c r="S16" s="1466"/>
    </row>
    <row r="17" spans="1:19" ht="24.6" customHeight="1">
      <c r="A17" s="1454" t="s">
        <v>3101</v>
      </c>
      <c r="B17" s="1455"/>
      <c r="C17" s="1455"/>
      <c r="D17" s="1455"/>
      <c r="E17" s="1455"/>
      <c r="F17" s="1455"/>
      <c r="G17" s="1455"/>
      <c r="H17" s="1455"/>
      <c r="I17" s="1455"/>
      <c r="J17" s="1455"/>
      <c r="K17" s="1455"/>
      <c r="L17" s="1455"/>
      <c r="M17" s="1455"/>
      <c r="N17" s="1455"/>
      <c r="O17" s="1455"/>
      <c r="P17" s="1455"/>
      <c r="Q17" s="1456"/>
      <c r="R17" s="1466"/>
      <c r="S17" s="1466"/>
    </row>
    <row r="18" spans="1:19" ht="24.6" customHeight="1">
      <c r="A18" s="1454" t="s">
        <v>3102</v>
      </c>
      <c r="B18" s="1455"/>
      <c r="C18" s="1455"/>
      <c r="D18" s="1455"/>
      <c r="E18" s="1455"/>
      <c r="F18" s="1455"/>
      <c r="G18" s="1455"/>
      <c r="H18" s="1455"/>
      <c r="I18" s="1455"/>
      <c r="J18" s="1455"/>
      <c r="K18" s="1455"/>
      <c r="L18" s="1455"/>
      <c r="M18" s="1455"/>
      <c r="N18" s="1455"/>
      <c r="O18" s="1455"/>
      <c r="P18" s="1455"/>
      <c r="Q18" s="1456"/>
      <c r="R18" s="1466"/>
      <c r="S18" s="1466"/>
    </row>
    <row r="19" spans="1:19" ht="24.6" customHeight="1">
      <c r="A19" s="1454" t="s">
        <v>3103</v>
      </c>
      <c r="B19" s="1455"/>
      <c r="C19" s="1455"/>
      <c r="D19" s="1455"/>
      <c r="E19" s="1455"/>
      <c r="F19" s="1455"/>
      <c r="G19" s="1455"/>
      <c r="H19" s="1455"/>
      <c r="I19" s="1455"/>
      <c r="J19" s="1455"/>
      <c r="K19" s="1455"/>
      <c r="L19" s="1455"/>
      <c r="M19" s="1455"/>
      <c r="N19" s="1455"/>
      <c r="O19" s="1455"/>
      <c r="P19" s="1455"/>
      <c r="Q19" s="1456"/>
      <c r="R19" s="742"/>
      <c r="S19" s="742"/>
    </row>
    <row r="20" spans="1:19" ht="24.6" customHeight="1">
      <c r="A20" s="1454" t="s">
        <v>3104</v>
      </c>
      <c r="B20" s="1455"/>
      <c r="C20" s="1455"/>
      <c r="D20" s="1455"/>
      <c r="E20" s="1455"/>
      <c r="F20" s="1455"/>
      <c r="G20" s="1455"/>
      <c r="H20" s="1455"/>
      <c r="I20" s="1455"/>
      <c r="J20" s="1455"/>
      <c r="K20" s="1455"/>
      <c r="L20" s="1455"/>
      <c r="M20" s="1455"/>
      <c r="N20" s="1455"/>
      <c r="O20" s="1455"/>
      <c r="P20" s="1455"/>
      <c r="Q20" s="1456"/>
      <c r="R20" s="742"/>
      <c r="S20" s="742"/>
    </row>
    <row r="21" spans="1:19" ht="24.6" customHeight="1">
      <c r="A21" s="1454" t="s">
        <v>3105</v>
      </c>
      <c r="B21" s="1455"/>
      <c r="C21" s="1455"/>
      <c r="D21" s="1455"/>
      <c r="E21" s="1455"/>
      <c r="F21" s="1455"/>
      <c r="G21" s="1455"/>
      <c r="H21" s="1455"/>
      <c r="I21" s="1455"/>
      <c r="J21" s="1455"/>
      <c r="K21" s="1455"/>
      <c r="L21" s="1455"/>
      <c r="M21" s="1455"/>
      <c r="N21" s="1455"/>
      <c r="O21" s="1455"/>
      <c r="P21" s="1455"/>
      <c r="Q21" s="1456"/>
    </row>
    <row r="22" spans="1:19" ht="24.6" customHeight="1">
      <c r="A22" s="1454" t="s">
        <v>3106</v>
      </c>
      <c r="B22" s="1455"/>
      <c r="C22" s="1455"/>
      <c r="D22" s="1455"/>
      <c r="E22" s="1455"/>
      <c r="F22" s="1455"/>
      <c r="G22" s="1455"/>
      <c r="H22" s="1455"/>
      <c r="I22" s="1455"/>
      <c r="J22" s="1455"/>
      <c r="K22" s="1455"/>
      <c r="L22" s="1455"/>
      <c r="M22" s="1455"/>
      <c r="N22" s="1455"/>
      <c r="O22" s="1455"/>
      <c r="P22" s="1455"/>
      <c r="Q22" s="1456"/>
      <c r="R22" s="1466" t="s">
        <v>3112</v>
      </c>
      <c r="S22" s="1466"/>
    </row>
    <row r="23" spans="1:19" ht="24.6" customHeight="1">
      <c r="A23" s="1454" t="s">
        <v>3107</v>
      </c>
      <c r="B23" s="1455"/>
      <c r="C23" s="1455"/>
      <c r="D23" s="1455"/>
      <c r="E23" s="1455"/>
      <c r="F23" s="1455"/>
      <c r="G23" s="1455"/>
      <c r="H23" s="1455"/>
      <c r="I23" s="1455"/>
      <c r="J23" s="1455"/>
      <c r="K23" s="1455"/>
      <c r="L23" s="1455"/>
      <c r="M23" s="1455"/>
      <c r="N23" s="1455"/>
      <c r="O23" s="1455"/>
      <c r="P23" s="1455"/>
      <c r="Q23" s="1456"/>
      <c r="R23" s="1466"/>
      <c r="S23" s="1466"/>
    </row>
    <row r="24" spans="1:19" ht="24.6" customHeight="1">
      <c r="A24" s="1454" t="s">
        <v>3108</v>
      </c>
      <c r="B24" s="1455"/>
      <c r="C24" s="1455"/>
      <c r="D24" s="1455"/>
      <c r="E24" s="1455"/>
      <c r="F24" s="1455"/>
      <c r="G24" s="1455"/>
      <c r="H24" s="1455"/>
      <c r="I24" s="1455"/>
      <c r="J24" s="1455"/>
      <c r="K24" s="1455"/>
      <c r="L24" s="1455"/>
      <c r="M24" s="1455"/>
      <c r="N24" s="1455"/>
      <c r="O24" s="1455"/>
      <c r="P24" s="1455"/>
      <c r="Q24" s="1456"/>
      <c r="R24" s="1466"/>
      <c r="S24" s="1466"/>
    </row>
    <row r="25" spans="1:19" ht="24.6" customHeight="1">
      <c r="A25" s="1454" t="s">
        <v>3109</v>
      </c>
      <c r="B25" s="1455"/>
      <c r="C25" s="1455"/>
      <c r="D25" s="1455"/>
      <c r="E25" s="1455"/>
      <c r="F25" s="1455"/>
      <c r="G25" s="1455"/>
      <c r="H25" s="1455"/>
      <c r="I25" s="1455"/>
      <c r="J25" s="1455"/>
      <c r="K25" s="1455"/>
      <c r="L25" s="1455"/>
      <c r="M25" s="1455"/>
      <c r="N25" s="1455"/>
      <c r="O25" s="1455"/>
      <c r="P25" s="1455"/>
      <c r="Q25" s="1456"/>
      <c r="R25" s="1466"/>
      <c r="S25" s="1466"/>
    </row>
    <row r="26" spans="1:19" ht="24.6" customHeight="1">
      <c r="A26" s="1454" t="s">
        <v>3110</v>
      </c>
      <c r="B26" s="1455"/>
      <c r="C26" s="1455"/>
      <c r="D26" s="1455"/>
      <c r="E26" s="1455"/>
      <c r="F26" s="1455"/>
      <c r="G26" s="1455"/>
      <c r="H26" s="1455"/>
      <c r="I26" s="1455"/>
      <c r="J26" s="1455"/>
      <c r="K26" s="1455"/>
      <c r="L26" s="1455"/>
      <c r="M26" s="1455"/>
      <c r="N26" s="1455"/>
      <c r="O26" s="1455"/>
      <c r="P26" s="1455"/>
      <c r="Q26" s="1456"/>
      <c r="R26" s="742"/>
      <c r="S26" s="742"/>
    </row>
    <row r="27" spans="1:19" ht="24.6" customHeight="1">
      <c r="A27" s="1496" t="s">
        <v>3111</v>
      </c>
      <c r="B27" s="1497"/>
      <c r="C27" s="1497"/>
      <c r="D27" s="1497"/>
      <c r="E27" s="1497"/>
      <c r="F27" s="1497"/>
      <c r="G27" s="1497"/>
      <c r="H27" s="1497"/>
      <c r="I27" s="1497"/>
      <c r="J27" s="1497"/>
      <c r="K27" s="1497"/>
      <c r="L27" s="1497"/>
      <c r="M27" s="1497"/>
      <c r="N27" s="1497"/>
      <c r="O27" s="1497"/>
      <c r="P27" s="1497"/>
      <c r="Q27" s="1498"/>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2923</v>
      </c>
      <c r="P29" s="1388"/>
      <c r="Q29" s="1389"/>
    </row>
    <row r="30" spans="1:19" ht="3" customHeight="1"/>
    <row r="31" spans="1:19" ht="12" customHeight="1">
      <c r="B31" s="192" t="s">
        <v>3060</v>
      </c>
      <c r="C31" s="65" t="s">
        <v>1077</v>
      </c>
      <c r="E31" s="40"/>
      <c r="F31" s="40"/>
      <c r="G31" s="40"/>
      <c r="H31" s="40"/>
      <c r="I31" s="52"/>
      <c r="J31" s="42"/>
      <c r="K31" s="52"/>
      <c r="L31" s="42"/>
      <c r="M31" s="42"/>
      <c r="O31" s="83" t="s">
        <v>923</v>
      </c>
      <c r="P31" s="796" t="s">
        <v>3926</v>
      </c>
      <c r="Q31" s="234"/>
    </row>
    <row r="32" spans="1:19" ht="12" customHeight="1">
      <c r="B32" s="57" t="s">
        <v>3063</v>
      </c>
      <c r="C32" s="65" t="s">
        <v>1078</v>
      </c>
      <c r="E32" s="40"/>
      <c r="F32" s="40"/>
      <c r="G32" s="40"/>
      <c r="H32" s="40"/>
      <c r="J32" s="1493" t="s">
        <v>3262</v>
      </c>
      <c r="K32" s="1494"/>
      <c r="L32" s="1494"/>
      <c r="M32" s="1494"/>
      <c r="N32" s="1495"/>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390" t="s">
        <v>4050</v>
      </c>
      <c r="B34" s="1391"/>
      <c r="C34" s="1391"/>
      <c r="D34" s="1391"/>
      <c r="E34" s="1391"/>
      <c r="F34" s="1391"/>
      <c r="G34" s="1391"/>
      <c r="H34" s="1391"/>
      <c r="I34" s="1391"/>
      <c r="J34" s="1391"/>
      <c r="K34" s="1391"/>
      <c r="L34" s="1391"/>
      <c r="M34" s="1391"/>
      <c r="N34" s="1391"/>
      <c r="O34" s="1391"/>
      <c r="P34" s="1391"/>
      <c r="Q34" s="1392"/>
      <c r="R34" s="1466" t="s">
        <v>1932</v>
      </c>
      <c r="S34" s="1466"/>
      <c r="T34" s="217"/>
      <c r="U34" s="185"/>
      <c r="V34" s="185"/>
      <c r="W34" s="185"/>
      <c r="X34" s="185"/>
      <c r="Y34" s="185"/>
      <c r="Z34" s="185"/>
      <c r="AA34" s="185"/>
      <c r="AB34" s="185"/>
      <c r="AC34" s="185"/>
      <c r="AD34" s="185"/>
      <c r="AE34" s="186"/>
    </row>
    <row r="35" spans="1:31" ht="12" customHeight="1">
      <c r="A35" s="1425"/>
      <c r="B35" s="1426"/>
      <c r="C35" s="1426"/>
      <c r="D35" s="1426"/>
      <c r="E35" s="1426"/>
      <c r="F35" s="1426"/>
      <c r="G35" s="1426"/>
      <c r="H35" s="1426"/>
      <c r="I35" s="1426"/>
      <c r="J35" s="1426"/>
      <c r="K35" s="1426"/>
      <c r="L35" s="1426"/>
      <c r="M35" s="1426"/>
      <c r="N35" s="1426"/>
      <c r="O35" s="1426"/>
      <c r="P35" s="1426"/>
      <c r="Q35" s="1427"/>
      <c r="R35" s="1466"/>
      <c r="S35" s="1466"/>
      <c r="T35" s="217"/>
    </row>
    <row r="36" spans="1:31" ht="12" customHeight="1">
      <c r="A36" s="1393"/>
      <c r="B36" s="1394"/>
      <c r="C36" s="1394"/>
      <c r="D36" s="1394"/>
      <c r="E36" s="1394"/>
      <c r="F36" s="1394"/>
      <c r="G36" s="1394"/>
      <c r="H36" s="1394"/>
      <c r="I36" s="1394"/>
      <c r="J36" s="1394"/>
      <c r="K36" s="1394"/>
      <c r="L36" s="1394"/>
      <c r="M36" s="1394"/>
      <c r="N36" s="1394"/>
      <c r="O36" s="1394"/>
      <c r="P36" s="1394"/>
      <c r="Q36" s="1395"/>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1396"/>
      <c r="B38" s="1397"/>
      <c r="C38" s="1397"/>
      <c r="D38" s="1397"/>
      <c r="E38" s="1397"/>
      <c r="F38" s="1397"/>
      <c r="G38" s="1397"/>
      <c r="H38" s="1397"/>
      <c r="I38" s="1397"/>
      <c r="J38" s="1397"/>
      <c r="K38" s="1397"/>
      <c r="L38" s="1397"/>
      <c r="M38" s="1397"/>
      <c r="N38" s="1397"/>
      <c r="O38" s="1397"/>
      <c r="P38" s="1397"/>
      <c r="Q38" s="1398"/>
      <c r="R38" s="1466" t="s">
        <v>1932</v>
      </c>
      <c r="S38" s="1466"/>
    </row>
    <row r="39" spans="1:31" ht="12" customHeight="1">
      <c r="A39" s="1442"/>
      <c r="B39" s="1443"/>
      <c r="C39" s="1443"/>
      <c r="D39" s="1443"/>
      <c r="E39" s="1443"/>
      <c r="F39" s="1443"/>
      <c r="G39" s="1443"/>
      <c r="H39" s="1443"/>
      <c r="I39" s="1443"/>
      <c r="J39" s="1443"/>
      <c r="K39" s="1443"/>
      <c r="L39" s="1443"/>
      <c r="M39" s="1443"/>
      <c r="N39" s="1443"/>
      <c r="O39" s="1443"/>
      <c r="P39" s="1443"/>
      <c r="Q39" s="1444"/>
      <c r="R39" s="1466"/>
      <c r="S39" s="1466"/>
    </row>
    <row r="40" spans="1:31" ht="12" customHeight="1">
      <c r="A40" s="1442"/>
      <c r="B40" s="1443"/>
      <c r="C40" s="1443"/>
      <c r="D40" s="1443"/>
      <c r="E40" s="1443"/>
      <c r="F40" s="1443"/>
      <c r="G40" s="1443"/>
      <c r="H40" s="1443"/>
      <c r="I40" s="1443"/>
      <c r="J40" s="1443"/>
      <c r="K40" s="1443"/>
      <c r="L40" s="1443"/>
      <c r="M40" s="1443"/>
      <c r="N40" s="1443"/>
      <c r="O40" s="1443"/>
      <c r="P40" s="1443"/>
      <c r="Q40" s="1444"/>
      <c r="R40" s="1466"/>
      <c r="S40" s="1466"/>
    </row>
    <row r="41" spans="1:31" ht="12" customHeight="1">
      <c r="A41" s="1442"/>
      <c r="B41" s="1443"/>
      <c r="C41" s="1443"/>
      <c r="D41" s="1443"/>
      <c r="E41" s="1443"/>
      <c r="F41" s="1443"/>
      <c r="G41" s="1443"/>
      <c r="H41" s="1443"/>
      <c r="I41" s="1443"/>
      <c r="J41" s="1443"/>
      <c r="K41" s="1443"/>
      <c r="L41" s="1443"/>
      <c r="M41" s="1443"/>
      <c r="N41" s="1443"/>
      <c r="O41" s="1443"/>
      <c r="P41" s="1443"/>
      <c r="Q41" s="1444"/>
    </row>
    <row r="42" spans="1:31" ht="12" customHeight="1">
      <c r="A42" s="1442"/>
      <c r="B42" s="1443"/>
      <c r="C42" s="1443"/>
      <c r="D42" s="1443"/>
      <c r="E42" s="1443"/>
      <c r="F42" s="1443"/>
      <c r="G42" s="1443"/>
      <c r="H42" s="1443"/>
      <c r="I42" s="1443"/>
      <c r="J42" s="1443"/>
      <c r="K42" s="1443"/>
      <c r="L42" s="1443"/>
      <c r="M42" s="1443"/>
      <c r="N42" s="1443"/>
      <c r="O42" s="1443"/>
      <c r="P42" s="1443"/>
      <c r="Q42" s="1444"/>
    </row>
    <row r="43" spans="1:31" ht="12" customHeight="1">
      <c r="A43" s="1408"/>
      <c r="B43" s="1409"/>
      <c r="C43" s="1409"/>
      <c r="D43" s="1409"/>
      <c r="E43" s="1409"/>
      <c r="F43" s="1409"/>
      <c r="G43" s="1409"/>
      <c r="H43" s="1409"/>
      <c r="I43" s="1409"/>
      <c r="J43" s="1409"/>
      <c r="K43" s="1409"/>
      <c r="L43" s="1409"/>
      <c r="M43" s="1409"/>
      <c r="N43" s="1409"/>
      <c r="O43" s="1409"/>
      <c r="P43" s="1409"/>
      <c r="Q43" s="1410"/>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2084</v>
      </c>
      <c r="C45" s="5"/>
      <c r="D45" s="5"/>
      <c r="E45" s="740"/>
      <c r="F45" s="740"/>
      <c r="G45" s="740"/>
      <c r="H45" s="740"/>
      <c r="K45" s="740"/>
      <c r="L45" s="740"/>
      <c r="M45" s="740"/>
      <c r="O45" s="180" t="s">
        <v>2923</v>
      </c>
      <c r="P45" s="1388"/>
      <c r="Q45" s="1389"/>
    </row>
    <row r="46" spans="1:31" ht="3" customHeight="1"/>
    <row r="47" spans="1:31" ht="11.45" customHeight="1">
      <c r="A47" s="189"/>
      <c r="C47" s="190" t="s">
        <v>113</v>
      </c>
      <c r="D47" s="190"/>
      <c r="E47" s="190"/>
      <c r="F47" s="190"/>
      <c r="G47" s="190"/>
      <c r="H47" s="190"/>
      <c r="J47" s="1445" t="str">
        <f>'Part I-Project Information'!$H$65</f>
        <v>Senior (Elderly)</v>
      </c>
      <c r="K47" s="1446"/>
      <c r="L47" s="1447"/>
      <c r="M47" s="740"/>
      <c r="N47" s="740"/>
      <c r="P47" s="796"/>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11.45" customHeight="1">
      <c r="A49" s="1421"/>
      <c r="B49" s="1433"/>
      <c r="C49" s="1433"/>
      <c r="D49" s="1433"/>
      <c r="E49" s="1433"/>
      <c r="F49" s="1433"/>
      <c r="G49" s="1433"/>
      <c r="H49" s="1433"/>
      <c r="I49" s="1433"/>
      <c r="J49" s="1434"/>
      <c r="K49" s="1411"/>
      <c r="L49" s="1412"/>
      <c r="M49" s="1412"/>
      <c r="N49" s="1412"/>
      <c r="O49" s="1412"/>
      <c r="P49" s="1412"/>
      <c r="Q49" s="1413"/>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2923</v>
      </c>
      <c r="P51" s="1388"/>
      <c r="Q51" s="1389"/>
    </row>
    <row r="52" spans="1:31" ht="3" customHeight="1"/>
    <row r="53" spans="1:31" ht="12.6" customHeight="1">
      <c r="B53" s="192" t="s">
        <v>3060</v>
      </c>
      <c r="C53" s="1448" t="s">
        <v>399</v>
      </c>
      <c r="D53" s="1448"/>
      <c r="E53" s="1448"/>
      <c r="F53" s="1448"/>
      <c r="G53" s="1448"/>
      <c r="H53" s="1448"/>
      <c r="I53" s="1448"/>
      <c r="J53" s="1448"/>
      <c r="K53" s="1448"/>
      <c r="L53" s="1448"/>
      <c r="M53" s="1448"/>
      <c r="O53" s="193"/>
      <c r="P53" s="796" t="s">
        <v>3984</v>
      </c>
      <c r="Q53" s="234"/>
    </row>
    <row r="54" spans="1:31" ht="12.75" customHeight="1">
      <c r="B54" s="57" t="s">
        <v>3063</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796" t="s">
        <v>3928</v>
      </c>
      <c r="Q55" s="234"/>
    </row>
    <row r="56" spans="1:31" ht="10.9" customHeight="1">
      <c r="A56" s="194"/>
      <c r="B56" s="52"/>
      <c r="C56" s="83" t="s">
        <v>2765</v>
      </c>
      <c r="D56" s="40" t="s">
        <v>2845</v>
      </c>
      <c r="E56" s="739"/>
      <c r="F56" s="739"/>
      <c r="G56" s="739"/>
      <c r="H56" s="42"/>
      <c r="I56" s="52"/>
      <c r="J56" s="52"/>
      <c r="O56" s="83" t="s">
        <v>2765</v>
      </c>
      <c r="P56" s="796" t="s">
        <v>3928</v>
      </c>
      <c r="Q56" s="234"/>
    </row>
    <row r="57" spans="1:31" ht="10.9" customHeight="1">
      <c r="A57" s="194"/>
      <c r="B57" s="52"/>
      <c r="C57" s="83" t="s">
        <v>2766</v>
      </c>
      <c r="D57" s="40" t="s">
        <v>400</v>
      </c>
      <c r="E57" s="739"/>
      <c r="J57" s="83"/>
      <c r="K57" s="83" t="s">
        <v>2766</v>
      </c>
      <c r="L57" s="1405"/>
      <c r="M57" s="1406"/>
      <c r="N57" s="1406"/>
      <c r="O57" s="1406"/>
      <c r="P57" s="1407"/>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390" t="s">
        <v>4051</v>
      </c>
      <c r="B59" s="1391"/>
      <c r="C59" s="1391"/>
      <c r="D59" s="1391"/>
      <c r="E59" s="1391"/>
      <c r="F59" s="1391"/>
      <c r="G59" s="1391"/>
      <c r="H59" s="1391"/>
      <c r="I59" s="1391"/>
      <c r="J59" s="1391"/>
      <c r="K59" s="1391"/>
      <c r="L59" s="1391"/>
      <c r="M59" s="1391"/>
      <c r="N59" s="1391"/>
      <c r="O59" s="1391"/>
      <c r="P59" s="1391"/>
      <c r="Q59" s="1392"/>
      <c r="U59" s="185"/>
      <c r="V59" s="185"/>
      <c r="W59" s="185"/>
      <c r="X59" s="185"/>
      <c r="Y59" s="185"/>
      <c r="Z59" s="185"/>
      <c r="AA59" s="185"/>
      <c r="AB59" s="185"/>
      <c r="AC59" s="185"/>
      <c r="AD59" s="185"/>
      <c r="AE59" s="186"/>
    </row>
    <row r="60" spans="1:31" ht="12" customHeight="1">
      <c r="A60" s="1393"/>
      <c r="B60" s="1394"/>
      <c r="C60" s="1394"/>
      <c r="D60" s="1394"/>
      <c r="E60" s="1394"/>
      <c r="F60" s="1394"/>
      <c r="G60" s="1394"/>
      <c r="H60" s="1394"/>
      <c r="I60" s="1394"/>
      <c r="J60" s="1394"/>
      <c r="K60" s="1394"/>
      <c r="L60" s="1394"/>
      <c r="M60" s="1394"/>
      <c r="N60" s="1394"/>
      <c r="O60" s="1394"/>
      <c r="P60" s="1394"/>
      <c r="Q60" s="1395"/>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1396"/>
      <c r="B62" s="1397"/>
      <c r="C62" s="1397"/>
      <c r="D62" s="1397"/>
      <c r="E62" s="1397"/>
      <c r="F62" s="1397"/>
      <c r="G62" s="1397"/>
      <c r="H62" s="1397"/>
      <c r="I62" s="1397"/>
      <c r="J62" s="1397"/>
      <c r="K62" s="1397"/>
      <c r="L62" s="1397"/>
      <c r="M62" s="1397"/>
      <c r="N62" s="1397"/>
      <c r="O62" s="1397"/>
      <c r="P62" s="1397"/>
      <c r="Q62" s="1398"/>
    </row>
    <row r="63" spans="1:31" ht="12" customHeight="1">
      <c r="A63" s="1408"/>
      <c r="B63" s="1409"/>
      <c r="C63" s="1409"/>
      <c r="D63" s="1409"/>
      <c r="E63" s="1409"/>
      <c r="F63" s="1409"/>
      <c r="G63" s="1409"/>
      <c r="H63" s="1409"/>
      <c r="I63" s="1409"/>
      <c r="J63" s="1409"/>
      <c r="K63" s="1409"/>
      <c r="L63" s="1409"/>
      <c r="M63" s="1409"/>
      <c r="N63" s="1409"/>
      <c r="O63" s="1409"/>
      <c r="P63" s="1409"/>
      <c r="Q63" s="1410"/>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3703</v>
      </c>
      <c r="C65" s="741"/>
      <c r="D65" s="740"/>
      <c r="E65" s="740"/>
      <c r="F65" s="740"/>
      <c r="G65" s="740"/>
      <c r="H65" s="740"/>
      <c r="I65" s="740"/>
      <c r="J65" s="740"/>
      <c r="K65" s="740"/>
      <c r="O65" s="180" t="s">
        <v>2923</v>
      </c>
      <c r="P65" s="1388"/>
      <c r="Q65" s="1389"/>
    </row>
    <row r="66" spans="1:31" ht="3" customHeight="1"/>
    <row r="67" spans="1:31" ht="12" customHeight="1">
      <c r="B67" s="57" t="s">
        <v>3060</v>
      </c>
      <c r="C67" s="195" t="s">
        <v>3730</v>
      </c>
      <c r="D67" s="182"/>
      <c r="E67" s="182"/>
      <c r="F67" s="182"/>
      <c r="G67" s="182"/>
      <c r="H67" s="182"/>
      <c r="I67" s="52"/>
      <c r="J67" s="52"/>
      <c r="K67" s="52"/>
      <c r="L67" s="62" t="s">
        <v>3060</v>
      </c>
      <c r="M67" s="1405" t="s">
        <v>3985</v>
      </c>
      <c r="N67" s="1406"/>
      <c r="O67" s="1406"/>
      <c r="P67" s="1492"/>
      <c r="Q67" s="234"/>
    </row>
    <row r="68" spans="1:31" ht="12" customHeight="1">
      <c r="B68" s="57" t="s">
        <v>3063</v>
      </c>
      <c r="C68" s="65" t="s">
        <v>3118</v>
      </c>
      <c r="D68" s="182"/>
      <c r="E68" s="182"/>
      <c r="F68" s="182"/>
      <c r="L68" s="62" t="s">
        <v>3063</v>
      </c>
      <c r="M68" s="1405" t="s">
        <v>4062</v>
      </c>
      <c r="N68" s="1406"/>
      <c r="O68" s="1406"/>
      <c r="P68" s="1492"/>
      <c r="Q68" s="234"/>
    </row>
    <row r="69" spans="1:31" ht="12" customHeight="1">
      <c r="B69" s="57" t="s">
        <v>1238</v>
      </c>
      <c r="C69" s="65" t="s">
        <v>3731</v>
      </c>
      <c r="D69" s="182"/>
      <c r="E69" s="182"/>
      <c r="F69" s="182"/>
      <c r="L69" s="62" t="s">
        <v>1238</v>
      </c>
      <c r="M69" s="1405" t="s">
        <v>4063</v>
      </c>
      <c r="N69" s="1406"/>
      <c r="O69" s="1406"/>
      <c r="P69" s="1492"/>
      <c r="Q69" s="351"/>
    </row>
    <row r="70" spans="1:31" ht="12" customHeight="1">
      <c r="B70" s="57" t="s">
        <v>3212</v>
      </c>
      <c r="C70" s="65" t="s">
        <v>3732</v>
      </c>
      <c r="D70" s="182"/>
      <c r="E70" s="182"/>
      <c r="F70" s="182"/>
      <c r="L70" s="62" t="s">
        <v>3212</v>
      </c>
      <c r="M70" s="1405" t="s">
        <v>4064</v>
      </c>
      <c r="N70" s="1406"/>
      <c r="O70" s="1406"/>
      <c r="P70" s="1492"/>
      <c r="Q70" s="234"/>
    </row>
    <row r="71" spans="1:31" ht="22.15" customHeight="1">
      <c r="B71" s="192" t="s">
        <v>2762</v>
      </c>
      <c r="C71" s="1424" t="s">
        <v>3556</v>
      </c>
      <c r="D71" s="1429"/>
      <c r="E71" s="1429"/>
      <c r="F71" s="1429"/>
      <c r="G71" s="1429"/>
      <c r="H71" s="1429"/>
      <c r="I71" s="1429"/>
      <c r="J71" s="1429"/>
      <c r="K71" s="1429"/>
      <c r="L71" s="739"/>
      <c r="M71" s="739"/>
      <c r="O71" s="62" t="s">
        <v>2762</v>
      </c>
      <c r="P71" s="796" t="s">
        <v>3926</v>
      </c>
      <c r="Q71" s="234"/>
    </row>
    <row r="72" spans="1:31" ht="12" customHeight="1">
      <c r="B72" s="57"/>
      <c r="C72" s="65"/>
      <c r="D72" s="709" t="s">
        <v>3593</v>
      </c>
      <c r="E72" s="40" t="s">
        <v>951</v>
      </c>
      <c r="F72" s="40"/>
      <c r="G72" s="65"/>
      <c r="H72" s="709" t="s">
        <v>3593</v>
      </c>
      <c r="I72" s="40" t="s">
        <v>951</v>
      </c>
      <c r="J72" s="40"/>
      <c r="K72" s="65"/>
      <c r="L72" s="709" t="s">
        <v>3593</v>
      </c>
      <c r="M72" s="40" t="s">
        <v>951</v>
      </c>
      <c r="N72" s="40"/>
      <c r="O72" s="65"/>
      <c r="P72" s="62"/>
      <c r="Q72" s="62"/>
    </row>
    <row r="73" spans="1:31" ht="12" customHeight="1">
      <c r="B73" s="57"/>
      <c r="C73" s="65">
        <v>1</v>
      </c>
      <c r="D73" s="808"/>
      <c r="E73" s="1435"/>
      <c r="F73" s="1436"/>
      <c r="G73" s="65">
        <v>4</v>
      </c>
      <c r="H73" s="808"/>
      <c r="I73" s="1435"/>
      <c r="J73" s="1436"/>
      <c r="K73" s="65">
        <v>7</v>
      </c>
      <c r="L73" s="808"/>
      <c r="M73" s="1435"/>
      <c r="N73" s="1436"/>
      <c r="O73" s="65"/>
      <c r="P73" s="62"/>
      <c r="Q73" s="62"/>
    </row>
    <row r="74" spans="1:31" ht="12" customHeight="1">
      <c r="B74" s="57"/>
      <c r="C74" s="65">
        <v>2</v>
      </c>
      <c r="D74" s="808"/>
      <c r="E74" s="1435"/>
      <c r="F74" s="1436"/>
      <c r="G74" s="65">
        <v>5</v>
      </c>
      <c r="H74" s="808"/>
      <c r="I74" s="1435"/>
      <c r="J74" s="1436"/>
      <c r="K74" s="65">
        <v>8</v>
      </c>
      <c r="L74" s="808"/>
      <c r="M74" s="1435"/>
      <c r="N74" s="1436"/>
      <c r="O74" s="65"/>
      <c r="P74" s="62"/>
      <c r="Q74" s="62"/>
    </row>
    <row r="75" spans="1:31" ht="12" customHeight="1">
      <c r="B75" s="57"/>
      <c r="C75" s="65">
        <v>3</v>
      </c>
      <c r="D75" s="808"/>
      <c r="E75" s="1435"/>
      <c r="F75" s="1436"/>
      <c r="G75" s="65">
        <v>6</v>
      </c>
      <c r="H75" s="808"/>
      <c r="I75" s="1435"/>
      <c r="J75" s="1436"/>
      <c r="K75" s="65">
        <v>9</v>
      </c>
      <c r="L75" s="808"/>
      <c r="M75" s="1435"/>
      <c r="N75" s="1436"/>
      <c r="O75" s="65"/>
      <c r="P75" s="62"/>
      <c r="Q75" s="62"/>
    </row>
    <row r="76" spans="1:31" ht="12" customHeight="1">
      <c r="B76" s="57" t="s">
        <v>2763</v>
      </c>
      <c r="C76" s="65" t="s">
        <v>1</v>
      </c>
      <c r="D76" s="182"/>
      <c r="E76" s="182"/>
      <c r="F76" s="182"/>
      <c r="G76" s="182"/>
      <c r="H76" s="182"/>
      <c r="I76" s="52"/>
      <c r="J76" s="52"/>
      <c r="K76" s="182"/>
      <c r="L76" s="739"/>
      <c r="M76" s="739"/>
      <c r="O76" s="62" t="s">
        <v>2763</v>
      </c>
      <c r="P76" s="796"/>
      <c r="Q76" s="234"/>
    </row>
    <row r="77" spans="1:31" ht="11.25" customHeight="1">
      <c r="B77" s="191" t="s">
        <v>2921</v>
      </c>
      <c r="D77" s="191"/>
      <c r="E77" s="191"/>
      <c r="F77" s="191"/>
      <c r="G77" s="191"/>
      <c r="H77" s="50"/>
      <c r="I77" s="179"/>
      <c r="J77" s="179"/>
      <c r="K77" s="179"/>
      <c r="L77" s="737"/>
      <c r="M77" s="737"/>
      <c r="N77" s="737"/>
      <c r="O77" s="737"/>
      <c r="P77" s="737"/>
      <c r="Q77" s="63"/>
    </row>
    <row r="78" spans="1:31" ht="22.9" customHeight="1">
      <c r="A78" s="1390"/>
      <c r="B78" s="1391"/>
      <c r="C78" s="1391"/>
      <c r="D78" s="1391"/>
      <c r="E78" s="1391"/>
      <c r="F78" s="1391"/>
      <c r="G78" s="1391"/>
      <c r="H78" s="1391"/>
      <c r="I78" s="1391"/>
      <c r="J78" s="1391"/>
      <c r="K78" s="1391"/>
      <c r="L78" s="1391"/>
      <c r="M78" s="1391"/>
      <c r="N78" s="1391"/>
      <c r="O78" s="1391"/>
      <c r="P78" s="1391"/>
      <c r="Q78" s="1392"/>
      <c r="U78" s="185"/>
      <c r="V78" s="185"/>
      <c r="W78" s="185"/>
      <c r="X78" s="185"/>
      <c r="Y78" s="185"/>
      <c r="Z78" s="185"/>
      <c r="AA78" s="185"/>
      <c r="AB78" s="185"/>
      <c r="AC78" s="185"/>
      <c r="AD78" s="185"/>
      <c r="AE78" s="186"/>
    </row>
    <row r="79" spans="1:31" ht="22.9" customHeight="1">
      <c r="A79" s="1393"/>
      <c r="B79" s="1394"/>
      <c r="C79" s="1394"/>
      <c r="D79" s="1394"/>
      <c r="E79" s="1394"/>
      <c r="F79" s="1394"/>
      <c r="G79" s="1394"/>
      <c r="H79" s="1394"/>
      <c r="I79" s="1394"/>
      <c r="J79" s="1394"/>
      <c r="K79" s="1394"/>
      <c r="L79" s="1394"/>
      <c r="M79" s="1394"/>
      <c r="N79" s="1394"/>
      <c r="O79" s="1394"/>
      <c r="P79" s="1394"/>
      <c r="Q79" s="1395"/>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1396"/>
      <c r="B81" s="1397"/>
      <c r="C81" s="1397"/>
      <c r="D81" s="1397"/>
      <c r="E81" s="1397"/>
      <c r="F81" s="1397"/>
      <c r="G81" s="1397"/>
      <c r="H81" s="1397"/>
      <c r="I81" s="1397"/>
      <c r="J81" s="1397"/>
      <c r="K81" s="1397"/>
      <c r="L81" s="1397"/>
      <c r="M81" s="1397"/>
      <c r="N81" s="1397"/>
      <c r="O81" s="1397"/>
      <c r="P81" s="1397"/>
      <c r="Q81" s="1398"/>
    </row>
    <row r="82" spans="1:17" ht="22.9" customHeight="1">
      <c r="A82" s="1408"/>
      <c r="B82" s="1409"/>
      <c r="C82" s="1409"/>
      <c r="D82" s="1409"/>
      <c r="E82" s="1409"/>
      <c r="F82" s="1409"/>
      <c r="G82" s="1409"/>
      <c r="H82" s="1409"/>
      <c r="I82" s="1409"/>
      <c r="J82" s="1409"/>
      <c r="K82" s="1409"/>
      <c r="L82" s="1409"/>
      <c r="M82" s="1409"/>
      <c r="N82" s="1409"/>
      <c r="O82" s="1409"/>
      <c r="P82" s="1409"/>
      <c r="Q82" s="1410"/>
    </row>
    <row r="83" spans="1:17" ht="13.9" customHeight="1">
      <c r="A83" s="741">
        <v>5</v>
      </c>
      <c r="B83" s="741" t="s">
        <v>291</v>
      </c>
      <c r="C83" s="741"/>
      <c r="D83" s="740"/>
      <c r="E83" s="740"/>
      <c r="F83" s="740"/>
      <c r="G83" s="740"/>
      <c r="H83" s="740"/>
      <c r="I83" s="740"/>
      <c r="J83" s="740"/>
      <c r="K83" s="740"/>
      <c r="L83" s="740"/>
      <c r="M83" s="740"/>
      <c r="O83" s="180" t="s">
        <v>2923</v>
      </c>
      <c r="P83" s="1388"/>
      <c r="Q83" s="1389"/>
    </row>
    <row r="84" spans="1:17" ht="3" customHeight="1"/>
    <row r="85" spans="1:17" ht="12" customHeight="1">
      <c r="B85" s="57" t="s">
        <v>3060</v>
      </c>
      <c r="C85" s="65" t="s">
        <v>729</v>
      </c>
      <c r="D85" s="65"/>
      <c r="E85" s="65"/>
      <c r="F85" s="65"/>
      <c r="G85" s="65"/>
      <c r="H85" s="65"/>
      <c r="I85" s="65"/>
      <c r="J85" s="65"/>
      <c r="K85" s="65"/>
      <c r="L85" s="65"/>
      <c r="M85" s="65"/>
      <c r="O85" s="62" t="s">
        <v>3060</v>
      </c>
      <c r="P85" s="796" t="s">
        <v>3926</v>
      </c>
      <c r="Q85" s="234"/>
    </row>
    <row r="86" spans="1:17" ht="12" customHeight="1">
      <c r="B86" s="57" t="s">
        <v>3063</v>
      </c>
      <c r="C86" s="65" t="s">
        <v>2005</v>
      </c>
      <c r="D86" s="65"/>
      <c r="E86" s="65"/>
      <c r="F86" s="65"/>
      <c r="G86" s="65"/>
      <c r="H86" s="65"/>
      <c r="I86" s="65"/>
      <c r="J86" s="65"/>
      <c r="K86" s="65"/>
      <c r="L86" s="40"/>
      <c r="M86" s="40"/>
      <c r="O86" s="62" t="s">
        <v>3063</v>
      </c>
      <c r="P86" s="796" t="s">
        <v>3926</v>
      </c>
      <c r="Q86" s="234"/>
    </row>
    <row r="87" spans="1:17" ht="12" customHeight="1">
      <c r="A87" s="181"/>
      <c r="B87" s="46"/>
      <c r="D87" s="49" t="s">
        <v>849</v>
      </c>
      <c r="E87" s="52"/>
      <c r="F87" s="52"/>
      <c r="G87" s="52"/>
      <c r="H87" s="52"/>
      <c r="I87" s="52"/>
      <c r="K87" s="49" t="s">
        <v>850</v>
      </c>
      <c r="M87" s="1449"/>
      <c r="N87" s="1450"/>
      <c r="O87" s="1450"/>
      <c r="P87" s="1451"/>
      <c r="Q87" s="234"/>
    </row>
    <row r="88" spans="1:17" ht="22.9" customHeight="1">
      <c r="A88" s="194"/>
      <c r="B88" s="179"/>
      <c r="C88" s="203" t="s">
        <v>2764</v>
      </c>
      <c r="D88" s="1353" t="s">
        <v>678</v>
      </c>
      <c r="E88" s="947"/>
      <c r="F88" s="947"/>
      <c r="G88" s="947"/>
      <c r="H88" s="947"/>
      <c r="I88" s="947"/>
      <c r="J88" s="947"/>
      <c r="K88" s="947"/>
      <c r="L88" s="947"/>
      <c r="M88" s="947"/>
      <c r="N88" s="947"/>
      <c r="O88" s="203" t="s">
        <v>2764</v>
      </c>
      <c r="P88" s="796"/>
      <c r="Q88" s="234"/>
    </row>
    <row r="89" spans="1:17" ht="12" customHeight="1">
      <c r="A89" s="194"/>
      <c r="B89" s="179"/>
      <c r="C89" s="83" t="s">
        <v>2765</v>
      </c>
      <c r="D89" s="65" t="s">
        <v>187</v>
      </c>
      <c r="E89" s="65"/>
      <c r="F89" s="65"/>
      <c r="G89" s="65"/>
      <c r="H89" s="65"/>
      <c r="I89" s="65"/>
      <c r="J89" s="65"/>
      <c r="K89" s="65"/>
      <c r="L89" s="65"/>
      <c r="M89" s="65"/>
      <c r="O89" s="83" t="s">
        <v>2765</v>
      </c>
      <c r="P89" s="796"/>
      <c r="Q89" s="234"/>
    </row>
    <row r="90" spans="1:17" ht="12" customHeight="1">
      <c r="A90" s="194"/>
      <c r="B90" s="179"/>
      <c r="C90" s="83" t="s">
        <v>2766</v>
      </c>
      <c r="D90" s="65" t="s">
        <v>188</v>
      </c>
      <c r="E90" s="65"/>
      <c r="F90" s="65"/>
      <c r="G90" s="65"/>
      <c r="H90" s="65"/>
      <c r="I90" s="65"/>
      <c r="J90" s="65"/>
      <c r="K90" s="65"/>
      <c r="L90" s="65"/>
      <c r="M90" s="65"/>
      <c r="O90" s="83" t="s">
        <v>2766</v>
      </c>
      <c r="P90" s="796"/>
      <c r="Q90" s="234"/>
    </row>
    <row r="91" spans="1:17" ht="12" customHeight="1">
      <c r="B91" s="57" t="s">
        <v>1238</v>
      </c>
      <c r="C91" s="65" t="s">
        <v>191</v>
      </c>
      <c r="D91" s="65"/>
      <c r="E91" s="65"/>
      <c r="F91" s="65"/>
      <c r="G91" s="65"/>
      <c r="H91" s="65"/>
      <c r="I91" s="65"/>
      <c r="J91" s="65"/>
      <c r="K91" s="65"/>
      <c r="L91" s="65"/>
      <c r="M91" s="65"/>
      <c r="O91" s="62" t="s">
        <v>1238</v>
      </c>
      <c r="P91" s="796" t="s">
        <v>3926</v>
      </c>
      <c r="Q91" s="234"/>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796" t="s">
        <v>3926</v>
      </c>
      <c r="Q93" s="234"/>
    </row>
    <row r="94" spans="1:17" ht="12" customHeight="1">
      <c r="B94" s="57"/>
      <c r="C94" s="83" t="s">
        <v>2765</v>
      </c>
      <c r="D94" s="65" t="s">
        <v>2150</v>
      </c>
      <c r="E94" s="65"/>
      <c r="F94" s="65"/>
      <c r="G94" s="65"/>
      <c r="H94" s="65"/>
      <c r="I94" s="65"/>
      <c r="J94" s="65"/>
      <c r="K94" s="65"/>
      <c r="L94" s="40"/>
      <c r="M94" s="40"/>
      <c r="O94" s="83" t="s">
        <v>2765</v>
      </c>
      <c r="P94" s="796" t="s">
        <v>3926</v>
      </c>
      <c r="Q94" s="234"/>
    </row>
    <row r="95" spans="1:17" ht="12" customHeight="1">
      <c r="B95" s="57"/>
      <c r="C95" s="83" t="s">
        <v>2766</v>
      </c>
      <c r="D95" s="65" t="s">
        <v>2151</v>
      </c>
      <c r="E95" s="65"/>
      <c r="F95" s="65"/>
      <c r="G95" s="65"/>
      <c r="H95" s="65"/>
      <c r="I95" s="65"/>
      <c r="J95" s="65"/>
      <c r="K95" s="65"/>
      <c r="L95" s="40"/>
      <c r="M95" s="40"/>
      <c r="O95" s="83" t="s">
        <v>2766</v>
      </c>
      <c r="P95" s="796" t="s">
        <v>3926</v>
      </c>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390" t="s">
        <v>3986</v>
      </c>
      <c r="B97" s="1391"/>
      <c r="C97" s="1391"/>
      <c r="D97" s="1391"/>
      <c r="E97" s="1391"/>
      <c r="F97" s="1391"/>
      <c r="G97" s="1391"/>
      <c r="H97" s="1391"/>
      <c r="I97" s="1391"/>
      <c r="J97" s="1391"/>
      <c r="K97" s="1391"/>
      <c r="L97" s="1391"/>
      <c r="M97" s="1391"/>
      <c r="N97" s="1391"/>
      <c r="O97" s="1391"/>
      <c r="P97" s="1391"/>
      <c r="Q97" s="1392"/>
      <c r="U97" s="185"/>
      <c r="V97" s="185"/>
      <c r="W97" s="185"/>
      <c r="X97" s="185"/>
      <c r="Y97" s="185"/>
      <c r="Z97" s="185"/>
      <c r="AA97" s="185"/>
      <c r="AB97" s="185"/>
      <c r="AC97" s="185"/>
      <c r="AD97" s="185"/>
      <c r="AE97" s="186"/>
    </row>
    <row r="98" spans="1:31" ht="13.15" customHeight="1">
      <c r="A98" s="1393"/>
      <c r="B98" s="1394"/>
      <c r="C98" s="1394"/>
      <c r="D98" s="1394"/>
      <c r="E98" s="1394"/>
      <c r="F98" s="1394"/>
      <c r="G98" s="1394"/>
      <c r="H98" s="1394"/>
      <c r="I98" s="1394"/>
      <c r="J98" s="1394"/>
      <c r="K98" s="1394"/>
      <c r="L98" s="1394"/>
      <c r="M98" s="1394"/>
      <c r="N98" s="1394"/>
      <c r="O98" s="1394"/>
      <c r="P98" s="1394"/>
      <c r="Q98" s="1395"/>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1396"/>
      <c r="B100" s="1397"/>
      <c r="C100" s="1397"/>
      <c r="D100" s="1397"/>
      <c r="E100" s="1397"/>
      <c r="F100" s="1397"/>
      <c r="G100" s="1397"/>
      <c r="H100" s="1397"/>
      <c r="I100" s="1397"/>
      <c r="J100" s="1397"/>
      <c r="K100" s="1397"/>
      <c r="L100" s="1397"/>
      <c r="M100" s="1397"/>
      <c r="N100" s="1397"/>
      <c r="O100" s="1397"/>
      <c r="P100" s="1397"/>
      <c r="Q100" s="1398"/>
    </row>
    <row r="101" spans="1:31" ht="13.15" customHeight="1">
      <c r="A101" s="1408"/>
      <c r="B101" s="1409"/>
      <c r="C101" s="1409"/>
      <c r="D101" s="1409"/>
      <c r="E101" s="1409"/>
      <c r="F101" s="1409"/>
      <c r="G101" s="1409"/>
      <c r="H101" s="1409"/>
      <c r="I101" s="1409"/>
      <c r="J101" s="1409"/>
      <c r="K101" s="1409"/>
      <c r="L101" s="1409"/>
      <c r="M101" s="1409"/>
      <c r="N101" s="1409"/>
      <c r="O101" s="1409"/>
      <c r="P101" s="1409"/>
      <c r="Q101" s="1410"/>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2923</v>
      </c>
      <c r="P103" s="1388"/>
      <c r="Q103" s="1389"/>
    </row>
    <row r="104" spans="1:31" ht="6.6" customHeight="1"/>
    <row r="105" spans="1:31" ht="12" customHeight="1">
      <c r="B105" s="57" t="s">
        <v>3060</v>
      </c>
      <c r="C105" s="65" t="s">
        <v>202</v>
      </c>
      <c r="D105" s="182"/>
      <c r="E105" s="182"/>
      <c r="F105" s="182"/>
      <c r="G105" s="182"/>
      <c r="H105" s="182"/>
      <c r="I105" s="52"/>
      <c r="J105" s="52"/>
      <c r="K105" s="52"/>
      <c r="L105" s="62" t="s">
        <v>3060</v>
      </c>
      <c r="M105" s="1405" t="s">
        <v>3987</v>
      </c>
      <c r="N105" s="1406"/>
      <c r="O105" s="1406"/>
      <c r="P105" s="1407"/>
      <c r="Q105" s="234"/>
    </row>
    <row r="106" spans="1:31" ht="12" customHeight="1">
      <c r="B106" s="57" t="s">
        <v>3063</v>
      </c>
      <c r="C106" s="65" t="s">
        <v>2291</v>
      </c>
      <c r="D106" s="182"/>
      <c r="E106" s="182"/>
      <c r="F106" s="182"/>
      <c r="G106" s="182"/>
      <c r="H106" s="182"/>
      <c r="I106" s="52"/>
      <c r="J106" s="52"/>
      <c r="K106" s="182"/>
      <c r="L106" s="182"/>
      <c r="M106" s="739"/>
      <c r="O106" s="62" t="s">
        <v>3063</v>
      </c>
      <c r="P106" s="796" t="s">
        <v>3926</v>
      </c>
      <c r="Q106" s="351"/>
    </row>
    <row r="107" spans="1:31" ht="12" customHeight="1">
      <c r="B107" s="57" t="s">
        <v>1238</v>
      </c>
      <c r="C107" s="65" t="s">
        <v>205</v>
      </c>
      <c r="D107" s="182"/>
      <c r="E107" s="182"/>
      <c r="F107" s="182"/>
      <c r="G107" s="182"/>
      <c r="H107" s="182"/>
      <c r="I107" s="52"/>
      <c r="J107" s="52"/>
      <c r="K107" s="182"/>
      <c r="L107" s="739"/>
      <c r="M107" s="739"/>
      <c r="O107" s="62" t="s">
        <v>1238</v>
      </c>
      <c r="P107" s="796" t="s">
        <v>3928</v>
      </c>
      <c r="Q107" s="234"/>
    </row>
    <row r="108" spans="1:31" ht="12" customHeight="1">
      <c r="B108" s="189"/>
      <c r="C108" s="65" t="s">
        <v>2842</v>
      </c>
      <c r="D108" s="52"/>
      <c r="E108" s="52"/>
      <c r="F108" s="52"/>
      <c r="G108" s="52"/>
      <c r="H108" s="65"/>
      <c r="I108" s="52"/>
      <c r="J108" s="52"/>
      <c r="K108" s="182"/>
      <c r="L108" s="739"/>
      <c r="M108" s="739"/>
      <c r="P108" s="809">
        <v>65</v>
      </c>
      <c r="Q108" s="351"/>
    </row>
    <row r="109" spans="1:31" ht="12" customHeight="1">
      <c r="B109" s="189"/>
      <c r="C109" s="65" t="s">
        <v>2089</v>
      </c>
      <c r="D109" s="52"/>
      <c r="E109" s="52"/>
      <c r="F109" s="52"/>
      <c r="G109" s="52"/>
      <c r="H109" s="65"/>
      <c r="I109" s="52"/>
      <c r="J109" s="52"/>
      <c r="K109" s="182"/>
      <c r="L109" s="739"/>
      <c r="M109" s="739"/>
      <c r="N109" s="739"/>
      <c r="O109" s="739"/>
    </row>
    <row r="110" spans="1:31" ht="11.45" customHeight="1">
      <c r="B110" s="737"/>
      <c r="C110" s="1439" t="s">
        <v>4055</v>
      </c>
      <c r="D110" s="1440"/>
      <c r="E110" s="1440"/>
      <c r="F110" s="1440"/>
      <c r="G110" s="1440"/>
      <c r="H110" s="1440"/>
      <c r="I110" s="1440"/>
      <c r="J110" s="1440"/>
      <c r="K110" s="1440"/>
      <c r="L110" s="1440"/>
      <c r="M110" s="1440"/>
      <c r="N110" s="1440"/>
      <c r="O110" s="1441"/>
      <c r="P110" s="740"/>
      <c r="Q110" s="737"/>
    </row>
    <row r="111" spans="1:31" ht="12" customHeight="1">
      <c r="B111" s="57" t="s">
        <v>3212</v>
      </c>
      <c r="C111" s="65" t="s">
        <v>1944</v>
      </c>
      <c r="D111" s="182"/>
      <c r="E111" s="182"/>
      <c r="F111" s="182"/>
      <c r="G111" s="182"/>
      <c r="H111" s="182"/>
      <c r="I111" s="52"/>
      <c r="J111" s="52"/>
      <c r="K111" s="182"/>
      <c r="L111" s="739"/>
      <c r="M111" s="739"/>
      <c r="N111" s="739"/>
      <c r="O111" s="62" t="s">
        <v>3212</v>
      </c>
    </row>
    <row r="112" spans="1:31" ht="12" customHeight="1">
      <c r="B112" s="57"/>
      <c r="C112" s="83" t="s">
        <v>2764</v>
      </c>
      <c r="D112" s="65" t="s">
        <v>203</v>
      </c>
      <c r="E112" s="182"/>
      <c r="F112" s="182"/>
      <c r="G112" s="182"/>
      <c r="H112" s="182"/>
      <c r="I112" s="52"/>
      <c r="J112" s="52"/>
      <c r="K112" s="182"/>
      <c r="L112" s="739"/>
      <c r="M112" s="739"/>
      <c r="O112" s="83" t="s">
        <v>2764</v>
      </c>
      <c r="P112" s="796" t="s">
        <v>3926</v>
      </c>
      <c r="Q112" s="234"/>
    </row>
    <row r="113" spans="1:17" ht="12" customHeight="1">
      <c r="B113" s="57"/>
      <c r="C113" s="83" t="s">
        <v>2765</v>
      </c>
      <c r="D113" s="65" t="s">
        <v>1945</v>
      </c>
      <c r="E113" s="182"/>
      <c r="F113" s="182"/>
      <c r="G113" s="182"/>
      <c r="H113" s="52"/>
      <c r="I113" s="52"/>
      <c r="J113" s="52"/>
      <c r="K113" s="182"/>
      <c r="L113" s="739"/>
      <c r="M113" s="739"/>
      <c r="O113" s="83" t="s">
        <v>2765</v>
      </c>
      <c r="P113" s="809" t="s">
        <v>3926</v>
      </c>
      <c r="Q113" s="351"/>
    </row>
    <row r="114" spans="1:17" ht="12" customHeight="1">
      <c r="B114" s="57"/>
      <c r="C114" s="83"/>
      <c r="D114" s="65" t="s">
        <v>2970</v>
      </c>
      <c r="E114" s="52"/>
      <c r="F114" s="52"/>
      <c r="G114" s="52"/>
      <c r="H114" s="65"/>
      <c r="I114" s="52"/>
      <c r="J114" s="52"/>
      <c r="K114" s="182"/>
      <c r="L114" s="739"/>
      <c r="M114" s="739"/>
      <c r="O114" s="739"/>
      <c r="P114" s="810"/>
      <c r="Q114" s="457"/>
    </row>
    <row r="115" spans="1:17" ht="12" customHeight="1">
      <c r="B115" s="57"/>
      <c r="C115" s="83"/>
      <c r="D115" s="65" t="s">
        <v>3663</v>
      </c>
      <c r="E115" s="52"/>
      <c r="F115" s="52"/>
      <c r="G115" s="52"/>
      <c r="H115" s="65"/>
      <c r="I115" s="52"/>
      <c r="J115" s="52"/>
      <c r="K115" s="182"/>
      <c r="L115" s="739"/>
      <c r="M115" s="739"/>
      <c r="O115" s="739"/>
      <c r="P115" s="809"/>
      <c r="Q115" s="351"/>
    </row>
    <row r="116" spans="1:17" ht="12" customHeight="1">
      <c r="B116" s="57"/>
      <c r="C116" s="83"/>
      <c r="D116" s="65" t="s">
        <v>3244</v>
      </c>
      <c r="E116" s="52"/>
      <c r="F116" s="52"/>
      <c r="G116" s="52"/>
      <c r="H116" s="65"/>
      <c r="I116" s="52"/>
      <c r="J116" s="52"/>
      <c r="K116" s="182"/>
      <c r="L116" s="739"/>
      <c r="M116" s="739"/>
      <c r="O116" s="739"/>
      <c r="P116" s="809"/>
      <c r="Q116" s="351"/>
    </row>
    <row r="117" spans="1:17" ht="12" customHeight="1">
      <c r="B117" s="57"/>
      <c r="C117" s="83" t="s">
        <v>2766</v>
      </c>
      <c r="D117" s="65" t="s">
        <v>1946</v>
      </c>
      <c r="E117" s="182"/>
      <c r="F117" s="182"/>
      <c r="G117" s="182"/>
      <c r="H117" s="65"/>
      <c r="I117" s="52"/>
      <c r="J117" s="52"/>
      <c r="K117" s="182"/>
      <c r="L117" s="739"/>
      <c r="M117" s="739"/>
      <c r="O117" s="83" t="s">
        <v>2766</v>
      </c>
      <c r="P117" s="796" t="s">
        <v>3926</v>
      </c>
      <c r="Q117" s="234"/>
    </row>
    <row r="118" spans="1:17" ht="12" customHeight="1">
      <c r="B118" s="57"/>
      <c r="C118" s="83"/>
      <c r="D118" s="65" t="s">
        <v>1407</v>
      </c>
      <c r="E118" s="52"/>
      <c r="F118" s="52"/>
      <c r="G118" s="52"/>
      <c r="H118" s="65"/>
      <c r="I118" s="52"/>
      <c r="J118" s="52"/>
      <c r="K118" s="182"/>
      <c r="L118" s="739"/>
      <c r="M118" s="739"/>
      <c r="O118" s="739"/>
      <c r="P118" s="811"/>
      <c r="Q118" s="352"/>
    </row>
    <row r="119" spans="1:17" ht="12" customHeight="1">
      <c r="B119" s="57"/>
      <c r="C119" s="83"/>
      <c r="D119" s="65" t="s">
        <v>3245</v>
      </c>
      <c r="E119" s="52"/>
      <c r="F119" s="52"/>
      <c r="G119" s="52"/>
      <c r="H119" s="65"/>
      <c r="I119" s="52"/>
      <c r="J119" s="52"/>
      <c r="K119" s="182"/>
      <c r="L119" s="739"/>
      <c r="M119" s="739"/>
      <c r="O119" s="739"/>
      <c r="P119" s="809"/>
      <c r="Q119" s="351"/>
    </row>
    <row r="120" spans="1:17" ht="12" customHeight="1">
      <c r="B120" s="57"/>
      <c r="C120" s="83"/>
      <c r="D120" s="65" t="s">
        <v>3244</v>
      </c>
      <c r="E120" s="52"/>
      <c r="F120" s="52"/>
      <c r="G120" s="52"/>
      <c r="H120" s="65"/>
      <c r="I120" s="52"/>
      <c r="J120" s="52"/>
      <c r="K120" s="182"/>
      <c r="L120" s="739"/>
      <c r="M120" s="739"/>
      <c r="O120" s="739"/>
      <c r="P120" s="809"/>
      <c r="Q120" s="351"/>
    </row>
    <row r="121" spans="1:17" ht="12" customHeight="1">
      <c r="B121" s="46"/>
      <c r="C121" s="83" t="s">
        <v>3571</v>
      </c>
      <c r="D121" s="65" t="s">
        <v>726</v>
      </c>
      <c r="E121" s="182"/>
      <c r="F121" s="182"/>
      <c r="G121" s="182"/>
      <c r="H121" s="182"/>
      <c r="I121" s="52"/>
      <c r="J121" s="52"/>
      <c r="K121" s="182"/>
      <c r="L121" s="739"/>
      <c r="M121" s="739"/>
      <c r="O121" s="83" t="s">
        <v>3571</v>
      </c>
      <c r="P121" s="796" t="s">
        <v>3926</v>
      </c>
      <c r="Q121" s="234"/>
    </row>
    <row r="122" spans="1:17" ht="12" customHeight="1">
      <c r="B122" s="57" t="s">
        <v>2762</v>
      </c>
      <c r="C122" s="196" t="s">
        <v>3658</v>
      </c>
      <c r="D122" s="182"/>
      <c r="E122" s="182"/>
      <c r="F122" s="182"/>
      <c r="G122" s="182"/>
      <c r="H122" s="182"/>
      <c r="I122" s="52"/>
      <c r="J122" s="52"/>
      <c r="K122" s="182"/>
      <c r="L122" s="739"/>
      <c r="M122" s="739"/>
      <c r="N122" s="739"/>
      <c r="O122" s="62" t="s">
        <v>2762</v>
      </c>
      <c r="P122" s="796"/>
      <c r="Q122" s="234"/>
    </row>
    <row r="123" spans="1:17" ht="12" customHeight="1">
      <c r="B123" s="57"/>
      <c r="C123" s="83" t="s">
        <v>2764</v>
      </c>
      <c r="D123" s="65" t="s">
        <v>3659</v>
      </c>
      <c r="E123" s="182"/>
      <c r="F123" s="796" t="s">
        <v>3926</v>
      </c>
      <c r="G123" s="234"/>
      <c r="H123" s="83" t="s">
        <v>2766</v>
      </c>
      <c r="I123" s="65" t="s">
        <v>2305</v>
      </c>
      <c r="J123" s="796" t="s">
        <v>3926</v>
      </c>
      <c r="K123" s="234"/>
      <c r="L123" s="83" t="s">
        <v>2303</v>
      </c>
      <c r="M123" s="65" t="s">
        <v>3621</v>
      </c>
      <c r="N123" s="796" t="s">
        <v>3926</v>
      </c>
      <c r="O123" s="234"/>
    </row>
    <row r="124" spans="1:17" ht="12" customHeight="1">
      <c r="B124" s="46"/>
      <c r="C124" s="83" t="s">
        <v>2765</v>
      </c>
      <c r="D124" s="65" t="s">
        <v>3775</v>
      </c>
      <c r="E124" s="182"/>
      <c r="F124" s="796" t="s">
        <v>3926</v>
      </c>
      <c r="G124" s="234"/>
      <c r="H124" s="83" t="s">
        <v>3571</v>
      </c>
      <c r="I124" s="65" t="s">
        <v>2306</v>
      </c>
      <c r="J124" s="796" t="s">
        <v>3926</v>
      </c>
      <c r="K124" s="234"/>
      <c r="L124" s="83" t="s">
        <v>2304</v>
      </c>
      <c r="M124" s="65" t="s">
        <v>2307</v>
      </c>
      <c r="N124" s="796" t="s">
        <v>3926</v>
      </c>
      <c r="O124" s="234"/>
    </row>
    <row r="125" spans="1:17" ht="12" customHeight="1">
      <c r="B125" s="46"/>
      <c r="C125" s="83" t="s">
        <v>112</v>
      </c>
      <c r="D125" s="65" t="s">
        <v>53</v>
      </c>
      <c r="E125" s="182"/>
      <c r="F125" s="182"/>
      <c r="G125" s="182"/>
      <c r="H125" s="182"/>
      <c r="J125" s="1405"/>
      <c r="K125" s="1406"/>
      <c r="L125" s="1406"/>
      <c r="M125" s="1406"/>
      <c r="N125" s="1406"/>
      <c r="O125" s="1407"/>
    </row>
    <row r="126" spans="1:17" ht="12" customHeight="1">
      <c r="B126" s="57" t="s">
        <v>2763</v>
      </c>
      <c r="C126" s="65" t="s">
        <v>1983</v>
      </c>
      <c r="D126" s="182"/>
      <c r="E126" s="182"/>
      <c r="F126" s="182"/>
      <c r="G126" s="182"/>
      <c r="H126" s="182"/>
      <c r="I126" s="52"/>
      <c r="J126" s="52"/>
      <c r="K126" s="182"/>
      <c r="L126" s="182"/>
      <c r="M126" s="739"/>
      <c r="O126" s="62" t="s">
        <v>2763</v>
      </c>
      <c r="P126" s="796" t="s">
        <v>3928</v>
      </c>
      <c r="Q126" s="234"/>
    </row>
    <row r="127" spans="1:17" ht="12" customHeight="1">
      <c r="A127" s="194"/>
      <c r="B127" s="52"/>
      <c r="C127" s="83" t="s">
        <v>2764</v>
      </c>
      <c r="D127" s="65" t="s">
        <v>1079</v>
      </c>
      <c r="E127" s="182"/>
      <c r="F127" s="182"/>
      <c r="G127" s="182"/>
      <c r="H127" s="182"/>
      <c r="O127" s="83" t="s">
        <v>2764</v>
      </c>
      <c r="P127" s="796" t="s">
        <v>3926</v>
      </c>
      <c r="Q127" s="234"/>
    </row>
    <row r="128" spans="1:17" ht="12" customHeight="1">
      <c r="A128" s="194"/>
      <c r="B128" s="179"/>
      <c r="C128" s="83" t="s">
        <v>2765</v>
      </c>
      <c r="D128" s="65" t="s">
        <v>725</v>
      </c>
      <c r="E128" s="65"/>
      <c r="F128" s="65"/>
      <c r="G128" s="65"/>
      <c r="H128" s="65"/>
      <c r="I128" s="52"/>
      <c r="J128" s="52"/>
      <c r="K128" s="65"/>
      <c r="L128" s="65"/>
      <c r="M128" s="65"/>
      <c r="O128" s="83" t="s">
        <v>2765</v>
      </c>
      <c r="P128" s="796" t="s">
        <v>3928</v>
      </c>
      <c r="Q128" s="234"/>
    </row>
    <row r="129" spans="1:31" ht="12" customHeight="1">
      <c r="A129" s="194"/>
      <c r="B129" s="179"/>
      <c r="C129" s="83" t="s">
        <v>2766</v>
      </c>
      <c r="D129" s="65" t="s">
        <v>1031</v>
      </c>
      <c r="E129" s="65"/>
      <c r="F129" s="65"/>
      <c r="G129" s="65"/>
      <c r="H129" s="65"/>
      <c r="I129" s="52"/>
      <c r="J129" s="52"/>
      <c r="K129" s="65"/>
      <c r="L129" s="65"/>
      <c r="M129" s="65"/>
      <c r="O129" s="83" t="s">
        <v>2766</v>
      </c>
      <c r="P129" s="796" t="s">
        <v>3928</v>
      </c>
      <c r="Q129" s="234"/>
    </row>
    <row r="130" spans="1:31" ht="12" customHeight="1">
      <c r="B130" s="57" t="s">
        <v>3020</v>
      </c>
      <c r="C130" s="65" t="s">
        <v>2781</v>
      </c>
      <c r="D130" s="182"/>
      <c r="E130" s="182"/>
      <c r="F130" s="182"/>
      <c r="G130" s="182"/>
      <c r="H130" s="182"/>
      <c r="I130" s="52"/>
      <c r="J130" s="52"/>
      <c r="K130" s="182"/>
      <c r="L130" s="182"/>
      <c r="M130" s="739"/>
      <c r="O130" s="62" t="s">
        <v>3020</v>
      </c>
      <c r="P130" s="796" t="s">
        <v>1580</v>
      </c>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12" customHeight="1">
      <c r="A133" s="1390" t="s">
        <v>4052</v>
      </c>
      <c r="B133" s="1391"/>
      <c r="C133" s="1391"/>
      <c r="D133" s="1391"/>
      <c r="E133" s="1391"/>
      <c r="F133" s="1391"/>
      <c r="G133" s="1391"/>
      <c r="H133" s="1391"/>
      <c r="I133" s="1391"/>
      <c r="J133" s="1391"/>
      <c r="K133" s="1391"/>
      <c r="L133" s="1391"/>
      <c r="M133" s="1391"/>
      <c r="N133" s="1391"/>
      <c r="O133" s="1391"/>
      <c r="P133" s="1391"/>
      <c r="Q133" s="1392"/>
      <c r="R133" s="1466" t="s">
        <v>1932</v>
      </c>
      <c r="S133" s="1466"/>
      <c r="U133" s="185"/>
      <c r="V133" s="185"/>
      <c r="W133" s="185"/>
      <c r="X133" s="185"/>
      <c r="Y133" s="185"/>
      <c r="Z133" s="185"/>
      <c r="AA133" s="185"/>
      <c r="AB133" s="185"/>
      <c r="AC133" s="185"/>
      <c r="AD133" s="185"/>
      <c r="AE133" s="186"/>
    </row>
    <row r="134" spans="1:31" ht="12" customHeight="1">
      <c r="A134" s="1425" t="s">
        <v>4053</v>
      </c>
      <c r="B134" s="1426"/>
      <c r="C134" s="1426"/>
      <c r="D134" s="1426"/>
      <c r="E134" s="1426"/>
      <c r="F134" s="1426"/>
      <c r="G134" s="1426"/>
      <c r="H134" s="1426"/>
      <c r="I134" s="1426"/>
      <c r="J134" s="1426"/>
      <c r="K134" s="1426"/>
      <c r="L134" s="1426"/>
      <c r="M134" s="1426"/>
      <c r="N134" s="1426"/>
      <c r="O134" s="1426"/>
      <c r="P134" s="1426"/>
      <c r="Q134" s="1427"/>
      <c r="R134" s="1466"/>
      <c r="S134" s="1466"/>
    </row>
    <row r="135" spans="1:31" ht="12" customHeight="1">
      <c r="A135" s="1393" t="s">
        <v>4054</v>
      </c>
      <c r="B135" s="1394"/>
      <c r="C135" s="1394"/>
      <c r="D135" s="1394"/>
      <c r="E135" s="1394"/>
      <c r="F135" s="1394"/>
      <c r="G135" s="1394"/>
      <c r="H135" s="1394"/>
      <c r="I135" s="1394"/>
      <c r="J135" s="1394"/>
      <c r="K135" s="1394"/>
      <c r="L135" s="1394"/>
      <c r="M135" s="1394"/>
      <c r="N135" s="1394"/>
      <c r="O135" s="1394"/>
      <c r="P135" s="1394"/>
      <c r="Q135" s="1395"/>
      <c r="R135" s="1466"/>
      <c r="S135" s="1466"/>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1396"/>
      <c r="B137" s="1397"/>
      <c r="C137" s="1397"/>
      <c r="D137" s="1397"/>
      <c r="E137" s="1397"/>
      <c r="F137" s="1397"/>
      <c r="G137" s="1397"/>
      <c r="H137" s="1397"/>
      <c r="I137" s="1397"/>
      <c r="J137" s="1397"/>
      <c r="K137" s="1397"/>
      <c r="L137" s="1397"/>
      <c r="M137" s="1397"/>
      <c r="N137" s="1397"/>
      <c r="O137" s="1397"/>
      <c r="P137" s="1397"/>
      <c r="Q137" s="1398"/>
      <c r="R137" s="1466" t="s">
        <v>1932</v>
      </c>
      <c r="S137" s="1466"/>
    </row>
    <row r="138" spans="1:31" ht="12" customHeight="1">
      <c r="A138" s="1442"/>
      <c r="B138" s="1443"/>
      <c r="C138" s="1443"/>
      <c r="D138" s="1443"/>
      <c r="E138" s="1443"/>
      <c r="F138" s="1443"/>
      <c r="G138" s="1443"/>
      <c r="H138" s="1443"/>
      <c r="I138" s="1443"/>
      <c r="J138" s="1443"/>
      <c r="K138" s="1443"/>
      <c r="L138" s="1443"/>
      <c r="M138" s="1443"/>
      <c r="N138" s="1443"/>
      <c r="O138" s="1443"/>
      <c r="P138" s="1443"/>
      <c r="Q138" s="1444"/>
      <c r="R138" s="1466"/>
      <c r="S138" s="1466"/>
    </row>
    <row r="139" spans="1:31" ht="12" customHeight="1">
      <c r="A139" s="1408"/>
      <c r="B139" s="1409"/>
      <c r="C139" s="1409"/>
      <c r="D139" s="1409"/>
      <c r="E139" s="1409"/>
      <c r="F139" s="1409"/>
      <c r="G139" s="1409"/>
      <c r="H139" s="1409"/>
      <c r="I139" s="1409"/>
      <c r="J139" s="1409"/>
      <c r="K139" s="1409"/>
      <c r="L139" s="1409"/>
      <c r="M139" s="1409"/>
      <c r="N139" s="1409"/>
      <c r="O139" s="1409"/>
      <c r="P139" s="1409"/>
      <c r="Q139" s="1410"/>
      <c r="R139" s="1466"/>
      <c r="S139" s="1466"/>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1600</v>
      </c>
      <c r="C141" s="741"/>
      <c r="D141" s="740"/>
      <c r="E141" s="740"/>
      <c r="F141" s="740"/>
      <c r="G141" s="740"/>
      <c r="H141" s="740"/>
      <c r="I141" s="740"/>
      <c r="J141" s="740"/>
      <c r="K141" s="740"/>
      <c r="O141" s="180" t="s">
        <v>2923</v>
      </c>
      <c r="P141" s="1388"/>
      <c r="Q141" s="1389"/>
    </row>
    <row r="142" spans="1:31" ht="10.9" customHeight="1">
      <c r="B142" s="57" t="s">
        <v>3060</v>
      </c>
      <c r="C142" s="65" t="s">
        <v>3120</v>
      </c>
      <c r="D142" s="65"/>
      <c r="E142" s="65"/>
      <c r="F142" s="65"/>
      <c r="G142" s="65"/>
      <c r="H142" s="65"/>
      <c r="N142" s="65"/>
      <c r="O142" s="62" t="s">
        <v>3060</v>
      </c>
      <c r="P142" s="796" t="s">
        <v>3928</v>
      </c>
      <c r="Q142" s="234"/>
    </row>
    <row r="143" spans="1:31" ht="12" customHeight="1">
      <c r="A143" s="189"/>
      <c r="B143" s="57" t="s">
        <v>3063</v>
      </c>
      <c r="C143" s="190" t="s">
        <v>204</v>
      </c>
      <c r="D143" s="190"/>
      <c r="E143" s="190"/>
      <c r="F143" s="190"/>
      <c r="G143" s="190"/>
      <c r="H143" s="190"/>
      <c r="M143" s="62" t="s">
        <v>3063</v>
      </c>
      <c r="N143" s="1403" t="s">
        <v>3988</v>
      </c>
      <c r="O143" s="1404"/>
      <c r="P143" s="1476"/>
      <c r="Q143" s="1477"/>
    </row>
    <row r="144" spans="1:31" ht="12" customHeight="1">
      <c r="A144" s="189"/>
      <c r="B144" s="57" t="s">
        <v>1238</v>
      </c>
      <c r="C144" s="190" t="s">
        <v>1032</v>
      </c>
      <c r="D144" s="190"/>
      <c r="E144" s="190"/>
      <c r="F144" s="190"/>
      <c r="G144" s="190"/>
      <c r="H144" s="190"/>
      <c r="J144" s="62" t="s">
        <v>1238</v>
      </c>
      <c r="K144" s="1400" t="s">
        <v>3989</v>
      </c>
      <c r="L144" s="1401"/>
      <c r="M144" s="1401"/>
      <c r="N144" s="1401"/>
      <c r="O144" s="1402"/>
      <c r="P144" s="796" t="s">
        <v>3928</v>
      </c>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11.45" customHeight="1">
      <c r="A146" s="1390" t="s">
        <v>3990</v>
      </c>
      <c r="B146" s="1391"/>
      <c r="C146" s="1391"/>
      <c r="D146" s="1391"/>
      <c r="E146" s="1391"/>
      <c r="F146" s="1391"/>
      <c r="G146" s="1391"/>
      <c r="H146" s="1391"/>
      <c r="I146" s="1391"/>
      <c r="J146" s="1391"/>
      <c r="K146" s="1391"/>
      <c r="L146" s="1391"/>
      <c r="M146" s="1391"/>
      <c r="N146" s="1391"/>
      <c r="O146" s="1391"/>
      <c r="P146" s="1391"/>
      <c r="Q146" s="1392"/>
      <c r="U146" s="185"/>
      <c r="V146" s="185"/>
      <c r="W146" s="185"/>
      <c r="X146" s="185"/>
      <c r="Y146" s="185"/>
      <c r="Z146" s="185"/>
      <c r="AA146" s="185"/>
      <c r="AB146" s="185"/>
      <c r="AC146" s="185"/>
      <c r="AD146" s="185"/>
      <c r="AE146" s="186"/>
    </row>
    <row r="147" spans="1:31" ht="11.45" customHeight="1">
      <c r="A147" s="1393"/>
      <c r="B147" s="1394"/>
      <c r="C147" s="1394"/>
      <c r="D147" s="1394"/>
      <c r="E147" s="1394"/>
      <c r="F147" s="1394"/>
      <c r="G147" s="1394"/>
      <c r="H147" s="1394"/>
      <c r="I147" s="1394"/>
      <c r="J147" s="1394"/>
      <c r="K147" s="1394"/>
      <c r="L147" s="1394"/>
      <c r="M147" s="1394"/>
      <c r="N147" s="1394"/>
      <c r="O147" s="1394"/>
      <c r="P147" s="1394"/>
      <c r="Q147" s="1395"/>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1396"/>
      <c r="B149" s="1397"/>
      <c r="C149" s="1397"/>
      <c r="D149" s="1397"/>
      <c r="E149" s="1397"/>
      <c r="F149" s="1397"/>
      <c r="G149" s="1397"/>
      <c r="H149" s="1397"/>
      <c r="I149" s="1397"/>
      <c r="J149" s="1397"/>
      <c r="K149" s="1397"/>
      <c r="L149" s="1397"/>
      <c r="M149" s="1397"/>
      <c r="N149" s="1397"/>
      <c r="O149" s="1397"/>
      <c r="P149" s="1397"/>
      <c r="Q149" s="1398"/>
    </row>
    <row r="150" spans="1:31" ht="11.45" customHeight="1">
      <c r="A150" s="1408"/>
      <c r="B150" s="1409"/>
      <c r="C150" s="1409"/>
      <c r="D150" s="1409"/>
      <c r="E150" s="1409"/>
      <c r="F150" s="1409"/>
      <c r="G150" s="1409"/>
      <c r="H150" s="1409"/>
      <c r="I150" s="1409"/>
      <c r="J150" s="1409"/>
      <c r="K150" s="1409"/>
      <c r="L150" s="1409"/>
      <c r="M150" s="1409"/>
      <c r="N150" s="1409"/>
      <c r="O150" s="1409"/>
      <c r="P150" s="1409"/>
      <c r="Q150" s="1410"/>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2923</v>
      </c>
      <c r="P152" s="1388"/>
      <c r="Q152" s="1389"/>
    </row>
    <row r="153" spans="1:31" ht="12" customHeight="1">
      <c r="B153" s="192" t="s">
        <v>3060</v>
      </c>
      <c r="C153" s="190" t="s">
        <v>109</v>
      </c>
      <c r="D153" s="190"/>
      <c r="E153" s="190"/>
      <c r="F153" s="190"/>
      <c r="G153" s="190"/>
      <c r="H153" s="190"/>
      <c r="I153" s="190"/>
      <c r="J153" s="190"/>
      <c r="K153" s="190"/>
      <c r="L153" s="197"/>
      <c r="M153" s="197"/>
      <c r="N153" s="197"/>
      <c r="O153" s="221" t="s">
        <v>3060</v>
      </c>
      <c r="P153" s="796" t="s">
        <v>3928</v>
      </c>
      <c r="Q153" s="234"/>
    </row>
    <row r="154" spans="1:31" ht="22.15" customHeight="1">
      <c r="B154" s="192" t="s">
        <v>3063</v>
      </c>
      <c r="C154" s="1424" t="s">
        <v>3791</v>
      </c>
      <c r="D154" s="1424"/>
      <c r="E154" s="1424"/>
      <c r="F154" s="1424"/>
      <c r="G154" s="1424"/>
      <c r="H154" s="1424"/>
      <c r="I154" s="1424"/>
      <c r="J154" s="1424"/>
      <c r="K154" s="1424"/>
      <c r="L154" s="1424"/>
      <c r="M154" s="1424"/>
      <c r="N154" s="1424"/>
      <c r="O154" s="221" t="s">
        <v>3063</v>
      </c>
      <c r="P154" s="79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390" t="s">
        <v>3991</v>
      </c>
      <c r="B156" s="1391"/>
      <c r="C156" s="1391"/>
      <c r="D156" s="1391"/>
      <c r="E156" s="1391"/>
      <c r="F156" s="1391"/>
      <c r="G156" s="1391"/>
      <c r="H156" s="1391"/>
      <c r="I156" s="1391"/>
      <c r="J156" s="1391"/>
      <c r="K156" s="1391"/>
      <c r="L156" s="1391"/>
      <c r="M156" s="1391"/>
      <c r="N156" s="1391"/>
      <c r="O156" s="1391"/>
      <c r="P156" s="1391"/>
      <c r="Q156" s="1392"/>
      <c r="U156" s="185"/>
      <c r="V156" s="185"/>
      <c r="W156" s="185"/>
      <c r="X156" s="185"/>
      <c r="Y156" s="185"/>
      <c r="Z156" s="185"/>
      <c r="AA156" s="185"/>
      <c r="AB156" s="185"/>
      <c r="AC156" s="185"/>
      <c r="AD156" s="185"/>
      <c r="AE156" s="186"/>
    </row>
    <row r="157" spans="1:31" ht="11.45" customHeight="1">
      <c r="A157" s="1393"/>
      <c r="B157" s="1394"/>
      <c r="C157" s="1394"/>
      <c r="D157" s="1394"/>
      <c r="E157" s="1394"/>
      <c r="F157" s="1394"/>
      <c r="G157" s="1394"/>
      <c r="H157" s="1394"/>
      <c r="I157" s="1394"/>
      <c r="J157" s="1394"/>
      <c r="K157" s="1394"/>
      <c r="L157" s="1394"/>
      <c r="M157" s="1394"/>
      <c r="N157" s="1394"/>
      <c r="O157" s="1394"/>
      <c r="P157" s="1394"/>
      <c r="Q157" s="1395"/>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1396"/>
      <c r="B159" s="1397"/>
      <c r="C159" s="1397"/>
      <c r="D159" s="1397"/>
      <c r="E159" s="1397"/>
      <c r="F159" s="1397"/>
      <c r="G159" s="1397"/>
      <c r="H159" s="1397"/>
      <c r="I159" s="1397"/>
      <c r="J159" s="1397"/>
      <c r="K159" s="1397"/>
      <c r="L159" s="1397"/>
      <c r="M159" s="1397"/>
      <c r="N159" s="1397"/>
      <c r="O159" s="1397"/>
      <c r="P159" s="1397"/>
      <c r="Q159" s="1398"/>
    </row>
    <row r="160" spans="1:31" ht="11.45" customHeight="1">
      <c r="A160" s="1408"/>
      <c r="B160" s="1409"/>
      <c r="C160" s="1409"/>
      <c r="D160" s="1409"/>
      <c r="E160" s="1409"/>
      <c r="F160" s="1409"/>
      <c r="G160" s="1409"/>
      <c r="H160" s="1409"/>
      <c r="I160" s="1409"/>
      <c r="J160" s="1409"/>
      <c r="K160" s="1409"/>
      <c r="L160" s="1409"/>
      <c r="M160" s="1409"/>
      <c r="N160" s="1409"/>
      <c r="O160" s="1409"/>
      <c r="P160" s="1409"/>
      <c r="Q160" s="1410"/>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437" t="s">
        <v>332</v>
      </c>
      <c r="C162" s="1437"/>
      <c r="D162" s="1437"/>
      <c r="O162" s="180" t="s">
        <v>2923</v>
      </c>
      <c r="P162" s="1388"/>
      <c r="Q162" s="1389"/>
    </row>
    <row r="163" spans="1:31" ht="12" customHeight="1">
      <c r="B163" s="192" t="s">
        <v>3060</v>
      </c>
      <c r="C163" s="197" t="s">
        <v>696</v>
      </c>
      <c r="D163" s="197"/>
      <c r="E163" s="197"/>
      <c r="F163" s="197"/>
      <c r="G163" s="197"/>
      <c r="H163" s="197"/>
      <c r="I163" s="197"/>
      <c r="J163" s="197"/>
      <c r="K163" s="197"/>
      <c r="L163" s="197"/>
      <c r="M163" s="197"/>
      <c r="O163" s="221" t="s">
        <v>3060</v>
      </c>
      <c r="P163" s="796" t="s">
        <v>3928</v>
      </c>
      <c r="Q163" s="234"/>
    </row>
    <row r="164" spans="1:31" ht="12" customHeight="1">
      <c r="B164" s="192" t="s">
        <v>3063</v>
      </c>
      <c r="C164" s="190" t="s">
        <v>721</v>
      </c>
      <c r="D164" s="190"/>
      <c r="E164" s="190"/>
      <c r="F164" s="190"/>
      <c r="G164" s="190"/>
      <c r="H164" s="190"/>
      <c r="I164" s="190"/>
      <c r="J164" s="190"/>
      <c r="K164" s="190"/>
      <c r="L164" s="190"/>
      <c r="M164" s="190"/>
      <c r="O164" s="221" t="s">
        <v>3063</v>
      </c>
      <c r="P164" s="796" t="s">
        <v>3928</v>
      </c>
      <c r="Q164" s="234"/>
    </row>
    <row r="165" spans="1:31" ht="12" customHeight="1">
      <c r="B165" s="192" t="s">
        <v>1238</v>
      </c>
      <c r="C165" s="197" t="s">
        <v>928</v>
      </c>
      <c r="D165" s="197"/>
      <c r="E165" s="197"/>
      <c r="F165" s="197"/>
      <c r="G165" s="197"/>
      <c r="H165" s="197"/>
      <c r="I165" s="197"/>
      <c r="J165" s="197"/>
      <c r="K165" s="197"/>
      <c r="L165" s="197"/>
      <c r="M165" s="197"/>
      <c r="O165" s="221" t="s">
        <v>1238</v>
      </c>
      <c r="P165" s="796" t="s">
        <v>3928</v>
      </c>
      <c r="Q165" s="234"/>
    </row>
    <row r="166" spans="1:31" ht="12" customHeight="1">
      <c r="B166" s="192" t="s">
        <v>3212</v>
      </c>
      <c r="C166" s="197" t="s">
        <v>929</v>
      </c>
      <c r="D166" s="197"/>
      <c r="E166" s="197"/>
      <c r="F166" s="197"/>
      <c r="G166" s="197"/>
      <c r="H166" s="197"/>
      <c r="I166" s="197"/>
      <c r="J166" s="197"/>
      <c r="K166" s="197"/>
      <c r="L166" s="197"/>
      <c r="M166" s="197"/>
      <c r="O166" s="221" t="s">
        <v>3212</v>
      </c>
      <c r="P166" s="796" t="s">
        <v>3928</v>
      </c>
      <c r="Q166" s="234"/>
    </row>
    <row r="167" spans="1:31" ht="12" customHeight="1">
      <c r="B167" s="192" t="s">
        <v>2762</v>
      </c>
      <c r="C167" s="197" t="s">
        <v>3594</v>
      </c>
      <c r="D167" s="197"/>
      <c r="E167" s="197"/>
      <c r="F167" s="197"/>
      <c r="G167" s="197"/>
      <c r="H167" s="197"/>
      <c r="I167" s="197"/>
      <c r="J167" s="197"/>
      <c r="K167" s="197"/>
      <c r="L167" s="197"/>
      <c r="M167" s="197"/>
      <c r="O167" s="221" t="s">
        <v>2762</v>
      </c>
      <c r="P167" s="796" t="s">
        <v>3928</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11.45" customHeight="1">
      <c r="A169" s="1390" t="s">
        <v>3992</v>
      </c>
      <c r="B169" s="1391"/>
      <c r="C169" s="1391"/>
      <c r="D169" s="1391"/>
      <c r="E169" s="1391"/>
      <c r="F169" s="1391"/>
      <c r="G169" s="1391"/>
      <c r="H169" s="1391"/>
      <c r="I169" s="1391"/>
      <c r="J169" s="1391"/>
      <c r="K169" s="1391"/>
      <c r="L169" s="1391"/>
      <c r="M169" s="1391"/>
      <c r="N169" s="1391"/>
      <c r="O169" s="1391"/>
      <c r="P169" s="1391"/>
      <c r="Q169" s="1392"/>
      <c r="U169" s="185"/>
      <c r="V169" s="185"/>
      <c r="W169" s="185"/>
      <c r="X169" s="185"/>
      <c r="Y169" s="185"/>
      <c r="Z169" s="185"/>
      <c r="AA169" s="185"/>
      <c r="AB169" s="185"/>
      <c r="AC169" s="185"/>
      <c r="AD169" s="185"/>
      <c r="AE169" s="186"/>
    </row>
    <row r="170" spans="1:31" ht="11.45" customHeight="1">
      <c r="A170" s="1393" t="s">
        <v>3993</v>
      </c>
      <c r="B170" s="1394"/>
      <c r="C170" s="1394"/>
      <c r="D170" s="1394"/>
      <c r="E170" s="1394"/>
      <c r="F170" s="1394"/>
      <c r="G170" s="1394"/>
      <c r="H170" s="1394"/>
      <c r="I170" s="1394"/>
      <c r="J170" s="1394"/>
      <c r="K170" s="1394"/>
      <c r="L170" s="1394"/>
      <c r="M170" s="1394"/>
      <c r="N170" s="1394"/>
      <c r="O170" s="1394"/>
      <c r="P170" s="1394"/>
      <c r="Q170" s="1395"/>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1396"/>
      <c r="B172" s="1397"/>
      <c r="C172" s="1397"/>
      <c r="D172" s="1397"/>
      <c r="E172" s="1397"/>
      <c r="F172" s="1397"/>
      <c r="G172" s="1397"/>
      <c r="H172" s="1397"/>
      <c r="I172" s="1397"/>
      <c r="J172" s="1397"/>
      <c r="K172" s="1397"/>
      <c r="L172" s="1397"/>
      <c r="M172" s="1397"/>
      <c r="N172" s="1397"/>
      <c r="O172" s="1397"/>
      <c r="P172" s="1397"/>
      <c r="Q172" s="1398"/>
    </row>
    <row r="173" spans="1:31" ht="11.45" customHeight="1">
      <c r="A173" s="1408"/>
      <c r="B173" s="1409"/>
      <c r="C173" s="1409"/>
      <c r="D173" s="1409"/>
      <c r="E173" s="1409"/>
      <c r="F173" s="1409"/>
      <c r="G173" s="1409"/>
      <c r="H173" s="1409"/>
      <c r="I173" s="1409"/>
      <c r="J173" s="1409"/>
      <c r="K173" s="1409"/>
      <c r="L173" s="1409"/>
      <c r="M173" s="1409"/>
      <c r="N173" s="1409"/>
      <c r="O173" s="1409"/>
      <c r="P173" s="1409"/>
      <c r="Q173" s="1410"/>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452"/>
      <c r="K175" s="1452"/>
      <c r="L175" s="1452"/>
      <c r="M175" s="1452"/>
      <c r="N175" s="1452"/>
      <c r="O175" s="180" t="s">
        <v>2923</v>
      </c>
      <c r="P175" s="1388"/>
      <c r="Q175" s="1389"/>
    </row>
    <row r="176" spans="1:31" ht="12" customHeight="1">
      <c r="A176" s="189"/>
      <c r="B176" s="57" t="s">
        <v>3060</v>
      </c>
      <c r="C176" s="1424" t="s">
        <v>110</v>
      </c>
      <c r="D176" s="1424"/>
      <c r="E176" s="1424"/>
      <c r="F176" s="1424"/>
      <c r="G176" s="1424"/>
      <c r="H176" s="83" t="s">
        <v>2764</v>
      </c>
      <c r="I176" s="65" t="s">
        <v>206</v>
      </c>
      <c r="J176" s="1405" t="s">
        <v>2890</v>
      </c>
      <c r="K176" s="1406"/>
      <c r="L176" s="1406"/>
      <c r="M176" s="1406"/>
      <c r="N176" s="1407"/>
      <c r="O176" s="83" t="s">
        <v>2764</v>
      </c>
      <c r="P176" s="796" t="s">
        <v>3926</v>
      </c>
      <c r="Q176" s="234"/>
    </row>
    <row r="177" spans="1:31" ht="12" customHeight="1">
      <c r="A177" s="189"/>
      <c r="B177" s="179"/>
      <c r="C177" s="141"/>
      <c r="D177" s="141"/>
      <c r="E177" s="141"/>
      <c r="F177" s="141"/>
      <c r="H177" s="83" t="s">
        <v>2765</v>
      </c>
      <c r="I177" s="65" t="s">
        <v>2357</v>
      </c>
      <c r="J177" s="1405" t="s">
        <v>3994</v>
      </c>
      <c r="K177" s="1406"/>
      <c r="L177" s="1406"/>
      <c r="M177" s="1406"/>
      <c r="N177" s="1407"/>
      <c r="O177" s="83" t="s">
        <v>2765</v>
      </c>
      <c r="P177" s="796" t="s">
        <v>3928</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421" t="s">
        <v>3996</v>
      </c>
      <c r="B179" s="1433"/>
      <c r="C179" s="1433"/>
      <c r="D179" s="1433"/>
      <c r="E179" s="1433"/>
      <c r="F179" s="1433"/>
      <c r="G179" s="1433"/>
      <c r="H179" s="1433"/>
      <c r="I179" s="1433"/>
      <c r="J179" s="1433"/>
      <c r="K179" s="1433"/>
      <c r="L179" s="1433"/>
      <c r="M179" s="1433"/>
      <c r="N179" s="1433"/>
      <c r="O179" s="1433"/>
      <c r="P179" s="1433"/>
      <c r="Q179" s="1434"/>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1411"/>
      <c r="B181" s="1412"/>
      <c r="C181" s="1412"/>
      <c r="D181" s="1412"/>
      <c r="E181" s="1412"/>
      <c r="F181" s="1412"/>
      <c r="G181" s="1412"/>
      <c r="H181" s="1412"/>
      <c r="I181" s="1412"/>
      <c r="J181" s="1412"/>
      <c r="K181" s="1412"/>
      <c r="L181" s="1412"/>
      <c r="M181" s="1412"/>
      <c r="N181" s="1412"/>
      <c r="O181" s="1412"/>
      <c r="P181" s="1412"/>
      <c r="Q181" s="1413"/>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3702</v>
      </c>
      <c r="C183" s="5"/>
      <c r="D183" s="118"/>
      <c r="E183" s="118"/>
      <c r="F183" s="118"/>
      <c r="G183" s="740"/>
      <c r="H183" s="740"/>
      <c r="I183" s="740"/>
      <c r="J183" s="740"/>
      <c r="K183" s="740"/>
      <c r="L183" s="740"/>
      <c r="M183" s="740"/>
      <c r="O183" s="180" t="s">
        <v>2923</v>
      </c>
      <c r="P183" s="1388"/>
      <c r="Q183" s="1389"/>
    </row>
    <row r="184" spans="1:31" ht="4.1500000000000004" customHeight="1"/>
    <row r="185" spans="1:31" ht="11.45" customHeight="1">
      <c r="B185" s="192" t="s">
        <v>3060</v>
      </c>
      <c r="C185" s="667" t="s">
        <v>2764</v>
      </c>
      <c r="D185" s="666" t="s">
        <v>801</v>
      </c>
      <c r="E185" s="666"/>
      <c r="F185" s="666"/>
      <c r="G185" s="666"/>
      <c r="H185" s="666"/>
      <c r="I185" s="666"/>
      <c r="J185" s="666"/>
      <c r="K185" s="666"/>
      <c r="L185" s="666"/>
      <c r="M185" s="666"/>
      <c r="N185" s="666"/>
      <c r="O185" s="221" t="s">
        <v>2230</v>
      </c>
      <c r="P185" s="796" t="s">
        <v>3926</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796"/>
      <c r="Q186" s="234"/>
    </row>
    <row r="187" spans="1:31" ht="11.45" customHeight="1">
      <c r="A187" s="189"/>
      <c r="B187" s="192" t="s">
        <v>3063</v>
      </c>
      <c r="C187" s="1424" t="s">
        <v>2903</v>
      </c>
      <c r="D187" s="1424"/>
      <c r="E187" s="1424"/>
      <c r="F187" s="1424"/>
      <c r="G187" s="1424"/>
      <c r="H187" s="83" t="s">
        <v>2764</v>
      </c>
      <c r="I187" s="65" t="s">
        <v>971</v>
      </c>
      <c r="J187" s="1405" t="s">
        <v>3995</v>
      </c>
      <c r="K187" s="1406"/>
      <c r="L187" s="1406"/>
      <c r="M187" s="1406"/>
      <c r="N187" s="1407"/>
      <c r="O187" s="83" t="s">
        <v>2170</v>
      </c>
      <c r="P187" s="796" t="s">
        <v>3928</v>
      </c>
      <c r="Q187" s="234"/>
    </row>
    <row r="188" spans="1:31" ht="11.45" customHeight="1">
      <c r="A188" s="189"/>
      <c r="B188" s="744"/>
      <c r="C188" s="1424"/>
      <c r="D188" s="1424"/>
      <c r="E188" s="1424"/>
      <c r="F188" s="1424"/>
      <c r="G188" s="1424"/>
      <c r="H188" s="83" t="s">
        <v>2765</v>
      </c>
      <c r="I188" s="65" t="s">
        <v>131</v>
      </c>
      <c r="J188" s="1405" t="s">
        <v>3995</v>
      </c>
      <c r="K188" s="1406"/>
      <c r="L188" s="1406"/>
      <c r="M188" s="1406"/>
      <c r="N188" s="1407"/>
      <c r="O188" s="83" t="s">
        <v>2765</v>
      </c>
      <c r="P188" s="796" t="s">
        <v>3928</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421" t="s">
        <v>3996</v>
      </c>
      <c r="B190" s="1433"/>
      <c r="C190" s="1433"/>
      <c r="D190" s="1433"/>
      <c r="E190" s="1433"/>
      <c r="F190" s="1433"/>
      <c r="G190" s="1433"/>
      <c r="H190" s="1433"/>
      <c r="I190" s="1433"/>
      <c r="J190" s="1433"/>
      <c r="K190" s="1433"/>
      <c r="L190" s="1433"/>
      <c r="M190" s="1433"/>
      <c r="N190" s="1433"/>
      <c r="O190" s="1433"/>
      <c r="P190" s="1433"/>
      <c r="Q190" s="1434"/>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1411"/>
      <c r="B192" s="1412"/>
      <c r="C192" s="1412"/>
      <c r="D192" s="1412"/>
      <c r="E192" s="1412"/>
      <c r="F192" s="1412"/>
      <c r="G192" s="1412"/>
      <c r="H192" s="1412"/>
      <c r="I192" s="1412"/>
      <c r="J192" s="1412"/>
      <c r="K192" s="1412"/>
      <c r="L192" s="1412"/>
      <c r="M192" s="1412"/>
      <c r="N192" s="1412"/>
      <c r="O192" s="1412"/>
      <c r="P192" s="1412"/>
      <c r="Q192" s="1413"/>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2923</v>
      </c>
      <c r="P194" s="1388"/>
      <c r="Q194" s="1389"/>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796" t="s">
        <v>3928</v>
      </c>
      <c r="Q196" s="234"/>
    </row>
    <row r="197" spans="1:31" ht="11.45" customHeight="1">
      <c r="B197" s="57" t="s">
        <v>3063</v>
      </c>
      <c r="C197" s="65" t="s">
        <v>194</v>
      </c>
      <c r="D197" s="65"/>
      <c r="E197" s="65"/>
      <c r="F197" s="65"/>
      <c r="G197" s="65"/>
      <c r="H197" s="65"/>
      <c r="I197" s="52"/>
      <c r="J197" s="52"/>
      <c r="K197" s="52"/>
      <c r="L197" s="190"/>
      <c r="M197" s="190"/>
      <c r="O197" s="221" t="s">
        <v>3063</v>
      </c>
      <c r="P197" s="796" t="s">
        <v>3928</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796" t="s">
        <v>3928</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796" t="s">
        <v>3928</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24" customHeight="1">
      <c r="A201" s="1390" t="s">
        <v>4075</v>
      </c>
      <c r="B201" s="1391"/>
      <c r="C201" s="1391"/>
      <c r="D201" s="1391"/>
      <c r="E201" s="1391"/>
      <c r="F201" s="1391"/>
      <c r="G201" s="1391"/>
      <c r="H201" s="1391"/>
      <c r="I201" s="1391"/>
      <c r="J201" s="1391"/>
      <c r="K201" s="1391"/>
      <c r="L201" s="1391"/>
      <c r="M201" s="1391"/>
      <c r="N201" s="1391"/>
      <c r="O201" s="1391"/>
      <c r="P201" s="1391"/>
      <c r="Q201" s="1392"/>
      <c r="R201" s="1466" t="s">
        <v>1932</v>
      </c>
      <c r="S201" s="1466"/>
      <c r="U201" s="185"/>
      <c r="V201" s="185"/>
      <c r="W201" s="185"/>
      <c r="X201" s="185"/>
      <c r="Y201" s="185"/>
      <c r="Z201" s="185"/>
      <c r="AA201" s="185"/>
      <c r="AB201" s="185"/>
      <c r="AC201" s="185"/>
      <c r="AD201" s="185"/>
      <c r="AE201" s="186"/>
    </row>
    <row r="202" spans="1:31" ht="13.15" customHeight="1">
      <c r="A202" s="1393"/>
      <c r="B202" s="1394"/>
      <c r="C202" s="1394"/>
      <c r="D202" s="1394"/>
      <c r="E202" s="1394"/>
      <c r="F202" s="1394"/>
      <c r="G202" s="1394"/>
      <c r="H202" s="1394"/>
      <c r="I202" s="1394"/>
      <c r="J202" s="1394"/>
      <c r="K202" s="1394"/>
      <c r="L202" s="1394"/>
      <c r="M202" s="1394"/>
      <c r="N202" s="1394"/>
      <c r="O202" s="1394"/>
      <c r="P202" s="1394"/>
      <c r="Q202" s="1395"/>
      <c r="R202" s="1466"/>
      <c r="S202" s="1466"/>
    </row>
    <row r="203" spans="1:31" s="31" customFormat="1" ht="3" customHeight="1">
      <c r="C203" s="134"/>
      <c r="D203" s="134"/>
      <c r="R203" s="1466"/>
      <c r="S203" s="1466"/>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1396"/>
      <c r="B205" s="1397"/>
      <c r="C205" s="1397"/>
      <c r="D205" s="1397"/>
      <c r="E205" s="1397"/>
      <c r="F205" s="1397"/>
      <c r="G205" s="1397"/>
      <c r="H205" s="1397"/>
      <c r="I205" s="1397"/>
      <c r="J205" s="1397"/>
      <c r="K205" s="1397"/>
      <c r="L205" s="1397"/>
      <c r="M205" s="1397"/>
      <c r="N205" s="1397"/>
      <c r="O205" s="1397"/>
      <c r="P205" s="1397"/>
      <c r="Q205" s="1398"/>
    </row>
    <row r="206" spans="1:31" ht="13.15" customHeight="1">
      <c r="A206" s="1408"/>
      <c r="B206" s="1409"/>
      <c r="C206" s="1409"/>
      <c r="D206" s="1409"/>
      <c r="E206" s="1409"/>
      <c r="F206" s="1409"/>
      <c r="G206" s="1409"/>
      <c r="H206" s="1409"/>
      <c r="I206" s="1409"/>
      <c r="J206" s="1409"/>
      <c r="K206" s="1409"/>
      <c r="L206" s="1409"/>
      <c r="M206" s="1409"/>
      <c r="N206" s="1409"/>
      <c r="O206" s="1409"/>
      <c r="P206" s="1409"/>
      <c r="Q206" s="1410"/>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2923</v>
      </c>
      <c r="P208" s="1388"/>
      <c r="Q208" s="1389"/>
    </row>
    <row r="209" spans="1:19" s="31" customFormat="1" ht="11.45" customHeight="1">
      <c r="B209" s="195" t="s">
        <v>1838</v>
      </c>
      <c r="N209" s="165"/>
      <c r="P209" s="796"/>
      <c r="Q209" s="234"/>
    </row>
    <row r="210" spans="1:19" ht="12" customHeight="1">
      <c r="B210" s="57" t="s">
        <v>3060</v>
      </c>
      <c r="C210" s="118" t="s">
        <v>2086</v>
      </c>
      <c r="D210" s="52"/>
      <c r="E210" s="52"/>
      <c r="F210" s="52"/>
      <c r="G210" s="52"/>
      <c r="H210" s="52"/>
      <c r="I210" s="52"/>
      <c r="J210" s="52"/>
      <c r="K210" s="52"/>
      <c r="L210" s="52"/>
      <c r="M210" s="52"/>
    </row>
    <row r="211" spans="1:19" ht="11.45" customHeight="1">
      <c r="B211" s="57"/>
      <c r="C211" s="83" t="s">
        <v>2764</v>
      </c>
      <c r="D211" s="65" t="s">
        <v>3003</v>
      </c>
      <c r="E211" s="65"/>
      <c r="F211" s="65"/>
      <c r="G211" s="65"/>
      <c r="H211" s="65"/>
      <c r="I211" s="52"/>
      <c r="J211" s="52"/>
      <c r="K211" s="52"/>
      <c r="L211" s="83" t="s">
        <v>2230</v>
      </c>
      <c r="M211" s="1405" t="s">
        <v>3997</v>
      </c>
      <c r="N211" s="1406"/>
      <c r="O211" s="1407"/>
      <c r="P211" s="796" t="s">
        <v>3984</v>
      </c>
      <c r="Q211" s="234"/>
    </row>
    <row r="212" spans="1:19" ht="11.45" customHeight="1">
      <c r="B212" s="57"/>
      <c r="C212" s="83" t="s">
        <v>2765</v>
      </c>
      <c r="D212" s="40" t="s">
        <v>198</v>
      </c>
      <c r="E212" s="40"/>
      <c r="F212" s="40"/>
      <c r="G212" s="40"/>
      <c r="H212" s="40"/>
      <c r="I212" s="52"/>
      <c r="J212" s="52"/>
      <c r="K212" s="52"/>
      <c r="L212" s="83" t="s">
        <v>2231</v>
      </c>
      <c r="M212" s="1405" t="s">
        <v>3998</v>
      </c>
      <c r="N212" s="1406"/>
      <c r="O212" s="1407"/>
      <c r="P212" s="796" t="s">
        <v>3984</v>
      </c>
      <c r="Q212" s="234"/>
    </row>
    <row r="213" spans="1:19" ht="11.45" customHeight="1">
      <c r="B213" s="57"/>
      <c r="C213" s="83" t="s">
        <v>2766</v>
      </c>
      <c r="D213" s="40" t="s">
        <v>855</v>
      </c>
      <c r="E213" s="40"/>
      <c r="F213" s="40"/>
      <c r="G213" s="40"/>
      <c r="H213" s="40"/>
      <c r="I213" s="52"/>
      <c r="J213" s="52"/>
      <c r="K213" s="52"/>
      <c r="L213" s="83" t="s">
        <v>2232</v>
      </c>
      <c r="M213" s="1499" t="s">
        <v>3999</v>
      </c>
      <c r="N213" s="1500"/>
      <c r="O213" s="1501"/>
      <c r="P213" s="796" t="s">
        <v>3984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796" t="s">
        <v>3984</v>
      </c>
      <c r="Q215" s="234"/>
    </row>
    <row r="216" spans="1:19" ht="10.9" customHeight="1">
      <c r="B216" s="57"/>
      <c r="C216" s="65" t="s">
        <v>3792</v>
      </c>
      <c r="D216" s="65"/>
      <c r="E216" s="65"/>
      <c r="F216" s="65"/>
      <c r="G216" s="65"/>
      <c r="H216" s="65"/>
      <c r="I216" s="65"/>
      <c r="J216" s="65"/>
      <c r="K216" s="52"/>
      <c r="L216" s="52"/>
      <c r="M216" s="52"/>
      <c r="N216" s="52"/>
      <c r="O216" s="52"/>
      <c r="P216" s="1399" t="s">
        <v>4</v>
      </c>
      <c r="Q216" s="1399"/>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390" t="s">
        <v>3199</v>
      </c>
      <c r="E218" s="1391"/>
      <c r="F218" s="1391"/>
      <c r="G218" s="1391"/>
      <c r="H218" s="1392"/>
      <c r="I218" s="456"/>
      <c r="J218" s="294"/>
      <c r="K218" s="83" t="s">
        <v>2766</v>
      </c>
      <c r="L218" s="1390"/>
      <c r="M218" s="1391"/>
      <c r="N218" s="1391"/>
      <c r="O218" s="1392"/>
      <c r="P218" s="354"/>
      <c r="Q218" s="294"/>
    </row>
    <row r="219" spans="1:19" s="53" customFormat="1" ht="11.45" customHeight="1">
      <c r="A219" s="129"/>
      <c r="B219" s="64"/>
      <c r="C219" s="83" t="s">
        <v>2765</v>
      </c>
      <c r="D219" s="1393" t="s">
        <v>4000</v>
      </c>
      <c r="E219" s="1394"/>
      <c r="F219" s="1394"/>
      <c r="G219" s="1394"/>
      <c r="H219" s="1395"/>
      <c r="I219" s="689"/>
      <c r="J219" s="295"/>
      <c r="K219" s="83" t="s">
        <v>3571</v>
      </c>
      <c r="L219" s="1393"/>
      <c r="M219" s="1394"/>
      <c r="N219" s="1394"/>
      <c r="O219" s="1395"/>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796" t="s">
        <v>3984</v>
      </c>
      <c r="Q221" s="234"/>
    </row>
    <row r="222" spans="1:19" ht="11.45" customHeight="1">
      <c r="B222" s="57"/>
      <c r="C222" s="83" t="s">
        <v>2764</v>
      </c>
      <c r="D222" s="65" t="s">
        <v>207</v>
      </c>
      <c r="E222" s="65"/>
      <c r="F222" s="65"/>
      <c r="G222" s="65"/>
      <c r="H222" s="65"/>
      <c r="I222" s="52"/>
      <c r="J222" s="42"/>
      <c r="K222" s="52"/>
      <c r="L222" s="42"/>
      <c r="M222" s="42"/>
      <c r="O222" s="83" t="s">
        <v>2764</v>
      </c>
      <c r="P222" s="796" t="s">
        <v>3928</v>
      </c>
      <c r="Q222" s="234"/>
    </row>
    <row r="223" spans="1:19" ht="11.45" customHeight="1">
      <c r="C223" s="83" t="s">
        <v>2765</v>
      </c>
      <c r="D223" s="40" t="s">
        <v>2647</v>
      </c>
      <c r="E223" s="40"/>
      <c r="F223" s="40"/>
      <c r="G223" s="40"/>
      <c r="H223" s="40"/>
      <c r="I223" s="52"/>
      <c r="J223" s="42"/>
      <c r="K223" s="52"/>
      <c r="L223" s="42"/>
      <c r="M223" s="42"/>
      <c r="O223" s="83" t="s">
        <v>2765</v>
      </c>
      <c r="P223" s="796" t="s">
        <v>3928</v>
      </c>
      <c r="Q223" s="234"/>
    </row>
    <row r="224" spans="1:19" ht="11.45" customHeight="1">
      <c r="C224" s="83" t="s">
        <v>2766</v>
      </c>
      <c r="D224" s="40" t="s">
        <v>2256</v>
      </c>
      <c r="E224" s="40"/>
      <c r="F224" s="40"/>
      <c r="G224" s="40"/>
      <c r="H224" s="40"/>
      <c r="I224" s="52"/>
      <c r="J224" s="42"/>
      <c r="K224" s="52"/>
      <c r="L224" s="42"/>
      <c r="M224" s="42"/>
      <c r="O224" s="83" t="s">
        <v>2766</v>
      </c>
      <c r="P224" s="796" t="s">
        <v>3928</v>
      </c>
      <c r="Q224" s="234"/>
    </row>
    <row r="225" spans="1:31" ht="11.45" customHeight="1">
      <c r="B225" s="57"/>
      <c r="C225" s="83" t="s">
        <v>3571</v>
      </c>
      <c r="D225" s="40" t="s">
        <v>208</v>
      </c>
      <c r="E225" s="40"/>
      <c r="F225" s="40"/>
      <c r="G225" s="40"/>
      <c r="H225" s="40"/>
      <c r="I225" s="52"/>
      <c r="J225" s="42"/>
      <c r="K225" s="52"/>
      <c r="L225" s="42"/>
      <c r="M225" s="42"/>
      <c r="O225" s="83" t="s">
        <v>3571</v>
      </c>
      <c r="P225" s="796" t="s">
        <v>3928</v>
      </c>
      <c r="Q225" s="234"/>
    </row>
    <row r="226" spans="1:31" ht="11.45" customHeight="1">
      <c r="B226" s="57"/>
      <c r="C226" s="83" t="s">
        <v>2303</v>
      </c>
      <c r="D226" s="65" t="s">
        <v>1351</v>
      </c>
      <c r="E226" s="65"/>
      <c r="F226" s="65"/>
      <c r="G226" s="65"/>
      <c r="H226" s="65"/>
      <c r="I226" s="52"/>
      <c r="J226" s="42"/>
      <c r="K226" s="52"/>
      <c r="L226" s="42"/>
      <c r="M226" s="42"/>
      <c r="O226" s="83" t="s">
        <v>1352</v>
      </c>
      <c r="P226" s="796" t="s">
        <v>3928</v>
      </c>
      <c r="Q226" s="234"/>
    </row>
    <row r="227" spans="1:31" ht="11.45" customHeight="1">
      <c r="B227" s="57"/>
      <c r="C227" s="83"/>
      <c r="D227" s="65" t="s">
        <v>2233</v>
      </c>
      <c r="E227" s="65"/>
      <c r="F227" s="65"/>
      <c r="G227" s="65"/>
      <c r="H227" s="65"/>
      <c r="I227" s="52"/>
      <c r="J227" s="42"/>
      <c r="K227" s="52"/>
      <c r="L227" s="42"/>
      <c r="M227" s="42"/>
      <c r="O227" s="83" t="s">
        <v>1353</v>
      </c>
      <c r="P227" s="796" t="s">
        <v>3926</v>
      </c>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2344</v>
      </c>
      <c r="D229" s="65"/>
      <c r="E229" s="65"/>
      <c r="F229" s="65"/>
      <c r="G229" s="65"/>
      <c r="H229" s="65"/>
      <c r="I229" s="65"/>
      <c r="J229" s="65"/>
      <c r="K229" s="52"/>
      <c r="L229" s="65"/>
      <c r="M229" s="65"/>
      <c r="O229" s="62" t="s">
        <v>3212</v>
      </c>
      <c r="P229" s="796" t="s">
        <v>3984</v>
      </c>
      <c r="Q229" s="234"/>
    </row>
    <row r="230" spans="1:31" ht="11.45" customHeight="1">
      <c r="B230" s="57"/>
      <c r="C230" s="83" t="s">
        <v>2764</v>
      </c>
      <c r="D230" s="49" t="s">
        <v>1933</v>
      </c>
      <c r="E230" s="52"/>
      <c r="F230" s="52"/>
      <c r="G230" s="49"/>
      <c r="H230" s="40"/>
      <c r="I230" s="52"/>
      <c r="J230" s="40"/>
      <c r="K230" s="52"/>
      <c r="L230" s="40"/>
      <c r="M230" s="40"/>
      <c r="O230" s="83" t="s">
        <v>2764</v>
      </c>
      <c r="P230" s="796" t="s">
        <v>3928</v>
      </c>
      <c r="Q230" s="234"/>
    </row>
    <row r="231" spans="1:31" ht="11.45" customHeight="1">
      <c r="B231" s="57"/>
      <c r="C231" s="83" t="s">
        <v>2765</v>
      </c>
      <c r="D231" s="49" t="s">
        <v>199</v>
      </c>
      <c r="E231" s="52"/>
      <c r="F231" s="52"/>
      <c r="G231" s="40"/>
      <c r="H231" s="40"/>
      <c r="I231" s="52"/>
      <c r="J231" s="40"/>
      <c r="K231" s="52"/>
      <c r="L231" s="40"/>
      <c r="M231" s="40"/>
      <c r="O231" s="83" t="s">
        <v>2765</v>
      </c>
      <c r="P231" s="796" t="s">
        <v>3928</v>
      </c>
      <c r="Q231" s="234"/>
    </row>
    <row r="232" spans="1:31" ht="11.45" customHeight="1">
      <c r="B232" s="57"/>
      <c r="C232" s="83" t="s">
        <v>2766</v>
      </c>
      <c r="D232" s="40" t="s">
        <v>2625</v>
      </c>
      <c r="E232" s="52"/>
      <c r="F232" s="52"/>
      <c r="G232" s="40"/>
      <c r="H232" s="40"/>
      <c r="I232" s="52"/>
      <c r="J232" s="40"/>
      <c r="K232" s="52"/>
      <c r="L232" s="40"/>
      <c r="M232" s="40"/>
      <c r="O232" s="83" t="s">
        <v>3581</v>
      </c>
      <c r="P232" s="796" t="s">
        <v>3928</v>
      </c>
      <c r="Q232" s="234"/>
    </row>
    <row r="233" spans="1:31" ht="11.45" customHeight="1">
      <c r="B233" s="46"/>
      <c r="C233" s="52"/>
      <c r="D233" s="40" t="s">
        <v>1984</v>
      </c>
      <c r="E233" s="52"/>
      <c r="F233" s="52"/>
      <c r="G233" s="40"/>
      <c r="H233" s="40"/>
      <c r="I233" s="52"/>
      <c r="J233" s="40"/>
      <c r="K233" s="52"/>
      <c r="L233" s="40"/>
      <c r="M233" s="40"/>
      <c r="O233" s="83" t="s">
        <v>3582</v>
      </c>
      <c r="P233" s="79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11.45" customHeight="1">
      <c r="A235" s="1390"/>
      <c r="B235" s="1391"/>
      <c r="C235" s="1391"/>
      <c r="D235" s="1391"/>
      <c r="E235" s="1391"/>
      <c r="F235" s="1391"/>
      <c r="G235" s="1391"/>
      <c r="H235" s="1391"/>
      <c r="I235" s="1391"/>
      <c r="J235" s="1391"/>
      <c r="K235" s="1391"/>
      <c r="L235" s="1391"/>
      <c r="M235" s="1391"/>
      <c r="N235" s="1391"/>
      <c r="O235" s="1391"/>
      <c r="P235" s="1391"/>
      <c r="Q235" s="1392"/>
      <c r="R235" s="1466" t="s">
        <v>1932</v>
      </c>
      <c r="S235" s="1466"/>
      <c r="U235" s="185"/>
      <c r="V235" s="185"/>
      <c r="W235" s="185"/>
      <c r="X235" s="185"/>
      <c r="Y235" s="185"/>
      <c r="Z235" s="185"/>
      <c r="AA235" s="185"/>
      <c r="AB235" s="185"/>
      <c r="AC235" s="185"/>
      <c r="AD235" s="185"/>
      <c r="AE235" s="186"/>
    </row>
    <row r="236" spans="1:31" ht="11.45" customHeight="1">
      <c r="A236" s="1393"/>
      <c r="B236" s="1394"/>
      <c r="C236" s="1394"/>
      <c r="D236" s="1394"/>
      <c r="E236" s="1394"/>
      <c r="F236" s="1394"/>
      <c r="G236" s="1394"/>
      <c r="H236" s="1394"/>
      <c r="I236" s="1394"/>
      <c r="J236" s="1394"/>
      <c r="K236" s="1394"/>
      <c r="L236" s="1394"/>
      <c r="M236" s="1394"/>
      <c r="N236" s="1394"/>
      <c r="O236" s="1394"/>
      <c r="P236" s="1394"/>
      <c r="Q236" s="1395"/>
      <c r="R236" s="1466"/>
      <c r="S236" s="1466"/>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1396"/>
      <c r="B238" s="1397"/>
      <c r="C238" s="1397"/>
      <c r="D238" s="1397"/>
      <c r="E238" s="1397"/>
      <c r="F238" s="1397"/>
      <c r="G238" s="1397"/>
      <c r="H238" s="1397"/>
      <c r="I238" s="1397"/>
      <c r="J238" s="1397"/>
      <c r="K238" s="1397"/>
      <c r="L238" s="1397"/>
      <c r="M238" s="1397"/>
      <c r="N238" s="1397"/>
      <c r="O238" s="1397"/>
      <c r="P238" s="1397"/>
      <c r="Q238" s="1398"/>
    </row>
    <row r="239" spans="1:31" ht="13.15" customHeight="1">
      <c r="A239" s="1408"/>
      <c r="B239" s="1409"/>
      <c r="C239" s="1409"/>
      <c r="D239" s="1409"/>
      <c r="E239" s="1409"/>
      <c r="F239" s="1409"/>
      <c r="G239" s="1409"/>
      <c r="H239" s="1409"/>
      <c r="I239" s="1409"/>
      <c r="J239" s="1409"/>
      <c r="K239" s="1409"/>
      <c r="L239" s="1409"/>
      <c r="M239" s="1409"/>
      <c r="N239" s="1409"/>
      <c r="O239" s="1409"/>
      <c r="P239" s="1409"/>
      <c r="Q239" s="1410"/>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3121</v>
      </c>
      <c r="C241" s="5"/>
      <c r="D241" s="118"/>
      <c r="E241" s="118"/>
      <c r="F241" s="118"/>
      <c r="G241" s="118"/>
      <c r="H241" s="740"/>
      <c r="I241" s="740"/>
      <c r="J241" s="740"/>
      <c r="K241" s="740"/>
      <c r="L241" s="740"/>
      <c r="M241" s="740"/>
      <c r="O241" s="180" t="s">
        <v>2923</v>
      </c>
      <c r="P241" s="1388"/>
      <c r="Q241" s="1389"/>
    </row>
    <row r="242" spans="1:31" ht="4.9000000000000004" customHeight="1"/>
    <row r="243" spans="1:31" ht="11.45" customHeight="1">
      <c r="B243" s="57" t="s">
        <v>3060</v>
      </c>
      <c r="C243" s="65" t="s">
        <v>1952</v>
      </c>
      <c r="D243" s="52"/>
      <c r="E243" s="65"/>
      <c r="F243" s="65"/>
      <c r="G243" s="65"/>
      <c r="H243" s="65"/>
      <c r="I243" s="52"/>
      <c r="J243" s="52"/>
      <c r="K243" s="52"/>
      <c r="L243" s="62" t="s">
        <v>3060</v>
      </c>
      <c r="M243" s="1405" t="s">
        <v>2800</v>
      </c>
      <c r="N243" s="1406"/>
      <c r="O243" s="1407"/>
      <c r="P243" s="1478" t="s">
        <v>2800</v>
      </c>
      <c r="Q243" s="1479"/>
    </row>
    <row r="244" spans="1:31" ht="11.45" customHeight="1">
      <c r="B244" s="57" t="s">
        <v>3063</v>
      </c>
      <c r="C244" s="65" t="s">
        <v>1921</v>
      </c>
      <c r="D244" s="65"/>
      <c r="E244" s="65"/>
      <c r="F244" s="65"/>
      <c r="G244" s="65"/>
      <c r="H244" s="65"/>
      <c r="I244" s="52"/>
      <c r="J244" s="52"/>
      <c r="K244" s="52"/>
      <c r="L244" s="62" t="s">
        <v>3063</v>
      </c>
      <c r="M244" s="1482"/>
      <c r="N244" s="1483"/>
      <c r="O244" s="1484"/>
      <c r="P244" s="1480"/>
      <c r="Q244" s="1481"/>
    </row>
    <row r="245" spans="1:31" s="200" customFormat="1" ht="11.45" customHeight="1">
      <c r="B245" s="57" t="s">
        <v>1238</v>
      </c>
      <c r="C245" s="65" t="s">
        <v>3017</v>
      </c>
      <c r="D245" s="65"/>
      <c r="E245" s="65"/>
      <c r="F245" s="65"/>
      <c r="G245" s="65"/>
      <c r="H245" s="65"/>
      <c r="I245" s="129"/>
      <c r="J245" s="129"/>
      <c r="K245" s="129"/>
      <c r="L245" s="62" t="s">
        <v>1238</v>
      </c>
      <c r="M245" s="1405"/>
      <c r="N245" s="1406"/>
      <c r="O245" s="1407"/>
      <c r="P245" s="1478"/>
      <c r="Q245" s="1479"/>
    </row>
    <row r="246" spans="1:31" s="200" customFormat="1" ht="11.45" customHeight="1">
      <c r="B246" s="57" t="s">
        <v>3212</v>
      </c>
      <c r="C246" s="65" t="s">
        <v>3842</v>
      </c>
      <c r="D246" s="65"/>
      <c r="E246" s="65"/>
      <c r="F246" s="65"/>
      <c r="G246" s="65"/>
      <c r="H246" s="65"/>
      <c r="I246" s="129"/>
      <c r="J246" s="129"/>
      <c r="K246" s="129"/>
      <c r="L246" s="129"/>
      <c r="M246" s="129"/>
      <c r="O246" s="62" t="s">
        <v>3212</v>
      </c>
      <c r="P246" s="796"/>
      <c r="Q246" s="234"/>
    </row>
    <row r="247" spans="1:31" s="200" customFormat="1" ht="22.15" customHeight="1">
      <c r="B247" s="192" t="s">
        <v>2762</v>
      </c>
      <c r="C247" s="1468" t="s">
        <v>1969</v>
      </c>
      <c r="D247" s="1468"/>
      <c r="E247" s="1468"/>
      <c r="F247" s="1468"/>
      <c r="G247" s="1468"/>
      <c r="H247" s="1468"/>
      <c r="I247" s="1468"/>
      <c r="J247" s="1468"/>
      <c r="K247" s="1468"/>
      <c r="L247" s="1468"/>
      <c r="M247" s="1468"/>
      <c r="O247" s="221" t="s">
        <v>2762</v>
      </c>
      <c r="P247" s="796"/>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13.15" customHeight="1">
      <c r="A249" s="1390" t="s">
        <v>1580</v>
      </c>
      <c r="B249" s="1391"/>
      <c r="C249" s="1391"/>
      <c r="D249" s="1391"/>
      <c r="E249" s="1391"/>
      <c r="F249" s="1391"/>
      <c r="G249" s="1391"/>
      <c r="H249" s="1391"/>
      <c r="I249" s="1391"/>
      <c r="J249" s="1391"/>
      <c r="K249" s="1391"/>
      <c r="L249" s="1391"/>
      <c r="M249" s="1391"/>
      <c r="N249" s="1391"/>
      <c r="O249" s="1391"/>
      <c r="P249" s="1391"/>
      <c r="Q249" s="1392"/>
      <c r="R249" s="1466" t="s">
        <v>1932</v>
      </c>
      <c r="S249" s="1466"/>
      <c r="U249" s="185"/>
      <c r="V249" s="185"/>
      <c r="W249" s="185"/>
      <c r="X249" s="185"/>
      <c r="Y249" s="185"/>
      <c r="Z249" s="185"/>
      <c r="AA249" s="185"/>
      <c r="AB249" s="185"/>
      <c r="AC249" s="185"/>
      <c r="AD249" s="185"/>
      <c r="AE249" s="186"/>
    </row>
    <row r="250" spans="1:31" ht="13.15" customHeight="1">
      <c r="A250" s="1393"/>
      <c r="B250" s="1394"/>
      <c r="C250" s="1394"/>
      <c r="D250" s="1394"/>
      <c r="E250" s="1394"/>
      <c r="F250" s="1394"/>
      <c r="G250" s="1394"/>
      <c r="H250" s="1394"/>
      <c r="I250" s="1394"/>
      <c r="J250" s="1394"/>
      <c r="K250" s="1394"/>
      <c r="L250" s="1394"/>
      <c r="M250" s="1394"/>
      <c r="N250" s="1394"/>
      <c r="O250" s="1394"/>
      <c r="P250" s="1394"/>
      <c r="Q250" s="1395"/>
      <c r="R250" s="1466"/>
      <c r="S250" s="1466"/>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1396"/>
      <c r="B252" s="1397"/>
      <c r="C252" s="1397"/>
      <c r="D252" s="1397"/>
      <c r="E252" s="1397"/>
      <c r="F252" s="1397"/>
      <c r="G252" s="1397"/>
      <c r="H252" s="1397"/>
      <c r="I252" s="1397"/>
      <c r="J252" s="1397"/>
      <c r="K252" s="1397"/>
      <c r="L252" s="1397"/>
      <c r="M252" s="1397"/>
      <c r="N252" s="1397"/>
      <c r="O252" s="1397"/>
      <c r="P252" s="1397"/>
      <c r="Q252" s="1398"/>
    </row>
    <row r="253" spans="1:31" ht="13.15" customHeight="1">
      <c r="A253" s="1408"/>
      <c r="B253" s="1409"/>
      <c r="C253" s="1409"/>
      <c r="D253" s="1409"/>
      <c r="E253" s="1409"/>
      <c r="F253" s="1409"/>
      <c r="G253" s="1409"/>
      <c r="H253" s="1409"/>
      <c r="I253" s="1409"/>
      <c r="J253" s="1409"/>
      <c r="K253" s="1409"/>
      <c r="L253" s="1409"/>
      <c r="M253" s="1409"/>
      <c r="N253" s="1409"/>
      <c r="O253" s="1409"/>
      <c r="P253" s="1409"/>
      <c r="Q253" s="1410"/>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2819</v>
      </c>
      <c r="C255" s="5"/>
      <c r="D255" s="118"/>
      <c r="E255" s="118"/>
      <c r="F255" s="118"/>
      <c r="G255" s="118"/>
      <c r="H255" s="740"/>
      <c r="I255" s="740"/>
      <c r="J255" s="740"/>
      <c r="K255" s="740"/>
      <c r="L255" s="740"/>
      <c r="M255" s="740"/>
      <c r="O255" s="180" t="s">
        <v>2923</v>
      </c>
      <c r="P255" s="1388"/>
      <c r="Q255" s="1389"/>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796" t="s">
        <v>3928</v>
      </c>
      <c r="Q257" s="234"/>
    </row>
    <row r="258" spans="1:31" s="200" customFormat="1" ht="11.45" customHeight="1">
      <c r="B258" s="57" t="s">
        <v>3063</v>
      </c>
      <c r="C258" s="65" t="s">
        <v>2113</v>
      </c>
      <c r="D258" s="65"/>
      <c r="E258" s="65"/>
      <c r="F258" s="65"/>
      <c r="G258" s="65"/>
      <c r="H258" s="65"/>
      <c r="I258" s="65"/>
      <c r="J258" s="65"/>
      <c r="K258" s="65"/>
      <c r="L258" s="65"/>
      <c r="M258" s="65"/>
      <c r="O258" s="62" t="s">
        <v>3063</v>
      </c>
      <c r="P258" s="796" t="s">
        <v>3928</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13.15" customHeight="1">
      <c r="A260" s="1390" t="s">
        <v>4001</v>
      </c>
      <c r="B260" s="1391"/>
      <c r="C260" s="1391"/>
      <c r="D260" s="1391"/>
      <c r="E260" s="1391"/>
      <c r="F260" s="1391"/>
      <c r="G260" s="1391"/>
      <c r="H260" s="1391"/>
      <c r="I260" s="1391"/>
      <c r="J260" s="1391"/>
      <c r="K260" s="1391"/>
      <c r="L260" s="1391"/>
      <c r="M260" s="1391"/>
      <c r="N260" s="1391"/>
      <c r="O260" s="1391"/>
      <c r="P260" s="1391"/>
      <c r="Q260" s="1392"/>
      <c r="R260" s="1466" t="s">
        <v>1932</v>
      </c>
      <c r="S260" s="1466"/>
      <c r="U260" s="185"/>
      <c r="V260" s="185"/>
      <c r="W260" s="185"/>
      <c r="X260" s="185"/>
      <c r="Y260" s="185"/>
      <c r="Z260" s="185"/>
      <c r="AA260" s="185"/>
      <c r="AB260" s="185"/>
      <c r="AC260" s="185"/>
      <c r="AD260" s="185"/>
      <c r="AE260" s="186"/>
    </row>
    <row r="261" spans="1:31" ht="13.15" customHeight="1">
      <c r="A261" s="1393"/>
      <c r="B261" s="1394"/>
      <c r="C261" s="1394"/>
      <c r="D261" s="1394"/>
      <c r="E261" s="1394"/>
      <c r="F261" s="1394"/>
      <c r="G261" s="1394"/>
      <c r="H261" s="1394"/>
      <c r="I261" s="1394"/>
      <c r="J261" s="1394"/>
      <c r="K261" s="1394"/>
      <c r="L261" s="1394"/>
      <c r="M261" s="1394"/>
      <c r="N261" s="1394"/>
      <c r="O261" s="1394"/>
      <c r="P261" s="1394"/>
      <c r="Q261" s="1395"/>
      <c r="R261" s="1466"/>
      <c r="S261" s="1466"/>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1396"/>
      <c r="B263" s="1397"/>
      <c r="C263" s="1397"/>
      <c r="D263" s="1397"/>
      <c r="E263" s="1397"/>
      <c r="F263" s="1397"/>
      <c r="G263" s="1397"/>
      <c r="H263" s="1397"/>
      <c r="I263" s="1397"/>
      <c r="J263" s="1397"/>
      <c r="K263" s="1397"/>
      <c r="L263" s="1397"/>
      <c r="M263" s="1397"/>
      <c r="N263" s="1397"/>
      <c r="O263" s="1397"/>
      <c r="P263" s="1397"/>
      <c r="Q263" s="1398"/>
    </row>
    <row r="264" spans="1:31" ht="13.15" customHeight="1">
      <c r="A264" s="1408"/>
      <c r="B264" s="1409"/>
      <c r="C264" s="1409"/>
      <c r="D264" s="1409"/>
      <c r="E264" s="1409"/>
      <c r="F264" s="1409"/>
      <c r="G264" s="1409"/>
      <c r="H264" s="1409"/>
      <c r="I264" s="1409"/>
      <c r="J264" s="1409"/>
      <c r="K264" s="1409"/>
      <c r="L264" s="1409"/>
      <c r="M264" s="1409"/>
      <c r="N264" s="1409"/>
      <c r="O264" s="1409"/>
      <c r="P264" s="1409"/>
      <c r="Q264" s="1410"/>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1089</v>
      </c>
      <c r="C266" s="741"/>
      <c r="D266" s="740"/>
      <c r="E266" s="740"/>
      <c r="F266" s="740"/>
      <c r="G266" s="740"/>
      <c r="H266" s="740"/>
      <c r="I266" s="740"/>
      <c r="J266" s="740"/>
      <c r="K266" s="740"/>
      <c r="L266" s="740"/>
      <c r="M266" s="740"/>
      <c r="O266" s="180" t="s">
        <v>2923</v>
      </c>
      <c r="P266" s="1388"/>
      <c r="Q266" s="1389"/>
    </row>
    <row r="267" spans="1:31" ht="3" customHeight="1"/>
    <row r="268" spans="1:31" s="705" customFormat="1" ht="24" customHeight="1">
      <c r="B268" s="192" t="s">
        <v>3060</v>
      </c>
      <c r="C268" s="1424" t="s">
        <v>1207</v>
      </c>
      <c r="D268" s="1429"/>
      <c r="E268" s="1429"/>
      <c r="F268" s="1429"/>
      <c r="G268" s="1429"/>
      <c r="H268" s="1429"/>
      <c r="I268" s="1429"/>
      <c r="J268" s="1429"/>
      <c r="K268" s="1429"/>
      <c r="L268" s="1429"/>
      <c r="M268" s="1429"/>
      <c r="N268" s="1429"/>
      <c r="O268" s="221" t="s">
        <v>3060</v>
      </c>
      <c r="P268" s="796" t="s">
        <v>3984</v>
      </c>
      <c r="Q268" s="234"/>
    </row>
    <row r="269" spans="1:31" s="705" customFormat="1" ht="24" customHeight="1">
      <c r="B269" s="192" t="s">
        <v>3063</v>
      </c>
      <c r="C269" s="1424" t="s">
        <v>1208</v>
      </c>
      <c r="D269" s="1429"/>
      <c r="E269" s="1429"/>
      <c r="F269" s="1429"/>
      <c r="G269" s="1429"/>
      <c r="H269" s="1429"/>
      <c r="I269" s="1429"/>
      <c r="J269" s="1429"/>
      <c r="K269" s="1429"/>
      <c r="L269" s="1429"/>
      <c r="M269" s="1429"/>
      <c r="N269" s="1429"/>
      <c r="O269" s="221" t="s">
        <v>3063</v>
      </c>
      <c r="P269" s="796" t="s">
        <v>3984</v>
      </c>
      <c r="Q269" s="234"/>
    </row>
    <row r="270" spans="1:31" s="705" customFormat="1" ht="33" customHeight="1">
      <c r="B270" s="192" t="s">
        <v>1238</v>
      </c>
      <c r="C270" s="1424" t="s">
        <v>1209</v>
      </c>
      <c r="D270" s="1429"/>
      <c r="E270" s="1429"/>
      <c r="F270" s="1429"/>
      <c r="G270" s="1429"/>
      <c r="H270" s="1429"/>
      <c r="I270" s="1429"/>
      <c r="J270" s="1429"/>
      <c r="K270" s="1429"/>
      <c r="L270" s="1429"/>
      <c r="M270" s="1429"/>
      <c r="N270" s="1429"/>
      <c r="O270" s="221" t="s">
        <v>3063</v>
      </c>
      <c r="P270" s="79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390" t="s">
        <v>4046</v>
      </c>
      <c r="B272" s="1391"/>
      <c r="C272" s="1391"/>
      <c r="D272" s="1391"/>
      <c r="E272" s="1391"/>
      <c r="F272" s="1391"/>
      <c r="G272" s="1391"/>
      <c r="H272" s="1391"/>
      <c r="I272" s="1391"/>
      <c r="J272" s="1391"/>
      <c r="K272" s="1391"/>
      <c r="L272" s="1391"/>
      <c r="M272" s="1391"/>
      <c r="N272" s="1391"/>
      <c r="O272" s="1391"/>
      <c r="P272" s="1391"/>
      <c r="Q272" s="1392"/>
      <c r="R272" s="1466" t="s">
        <v>1932</v>
      </c>
      <c r="S272" s="1466"/>
      <c r="U272" s="185"/>
      <c r="V272" s="185"/>
      <c r="W272" s="185"/>
      <c r="X272" s="185"/>
      <c r="Y272" s="185"/>
      <c r="Z272" s="185"/>
      <c r="AA272" s="185"/>
      <c r="AB272" s="185"/>
      <c r="AC272" s="185"/>
      <c r="AD272" s="185"/>
      <c r="AE272" s="186"/>
    </row>
    <row r="273" spans="1:31" ht="13.15" customHeight="1">
      <c r="A273" s="1393"/>
      <c r="B273" s="1394"/>
      <c r="C273" s="1394"/>
      <c r="D273" s="1394"/>
      <c r="E273" s="1394"/>
      <c r="F273" s="1394"/>
      <c r="G273" s="1394"/>
      <c r="H273" s="1394"/>
      <c r="I273" s="1394"/>
      <c r="J273" s="1394"/>
      <c r="K273" s="1394"/>
      <c r="L273" s="1394"/>
      <c r="M273" s="1394"/>
      <c r="N273" s="1394"/>
      <c r="O273" s="1394"/>
      <c r="P273" s="1394"/>
      <c r="Q273" s="1395"/>
      <c r="R273" s="1466"/>
      <c r="S273" s="1466"/>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1396"/>
      <c r="B275" s="1397"/>
      <c r="C275" s="1397"/>
      <c r="D275" s="1397"/>
      <c r="E275" s="1397"/>
      <c r="F275" s="1397"/>
      <c r="G275" s="1397"/>
      <c r="H275" s="1397"/>
      <c r="I275" s="1397"/>
      <c r="J275" s="1397"/>
      <c r="K275" s="1397"/>
      <c r="L275" s="1397"/>
      <c r="M275" s="1397"/>
      <c r="N275" s="1397"/>
      <c r="O275" s="1397"/>
      <c r="P275" s="1397"/>
      <c r="Q275" s="1398"/>
    </row>
    <row r="276" spans="1:31" ht="13.15" customHeight="1">
      <c r="A276" s="1408"/>
      <c r="B276" s="1409"/>
      <c r="C276" s="1409"/>
      <c r="D276" s="1409"/>
      <c r="E276" s="1409"/>
      <c r="F276" s="1409"/>
      <c r="G276" s="1409"/>
      <c r="H276" s="1409"/>
      <c r="I276" s="1409"/>
      <c r="J276" s="1409"/>
      <c r="K276" s="1409"/>
      <c r="L276" s="1409"/>
      <c r="M276" s="1409"/>
      <c r="N276" s="1409"/>
      <c r="O276" s="1409"/>
      <c r="P276" s="1409"/>
      <c r="Q276" s="1410"/>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877</v>
      </c>
      <c r="C278" s="201"/>
      <c r="D278" s="202"/>
      <c r="E278" s="740"/>
      <c r="F278" s="740"/>
      <c r="G278" s="740"/>
      <c r="H278" s="740"/>
      <c r="I278" s="740"/>
      <c r="J278" s="740"/>
      <c r="K278" s="740"/>
      <c r="L278" s="740"/>
      <c r="M278" s="740"/>
      <c r="O278" s="180" t="s">
        <v>2923</v>
      </c>
      <c r="P278" s="1388"/>
      <c r="Q278" s="1389"/>
    </row>
    <row r="279" spans="1:31" s="200" customFormat="1" ht="22.9" customHeight="1">
      <c r="B279" s="192" t="s">
        <v>3060</v>
      </c>
      <c r="C279" s="1468" t="s">
        <v>2944</v>
      </c>
      <c r="D279" s="1468"/>
      <c r="E279" s="1468"/>
      <c r="F279" s="1468"/>
      <c r="G279" s="1468"/>
      <c r="H279" s="1468"/>
      <c r="I279" s="1468"/>
      <c r="J279" s="1468"/>
      <c r="K279" s="1468"/>
      <c r="L279" s="1468"/>
      <c r="M279" s="1468"/>
      <c r="O279" s="221" t="s">
        <v>3060</v>
      </c>
      <c r="P279" s="812" t="s">
        <v>3928</v>
      </c>
      <c r="Q279" s="234"/>
    </row>
    <row r="280" spans="1:31" s="200" customFormat="1" ht="12" customHeight="1">
      <c r="B280" s="57" t="s">
        <v>3063</v>
      </c>
      <c r="C280" s="40" t="s">
        <v>3119</v>
      </c>
      <c r="D280" s="40"/>
      <c r="E280" s="40"/>
      <c r="F280" s="40"/>
      <c r="G280" s="40"/>
      <c r="H280" s="40"/>
      <c r="I280" s="40"/>
      <c r="J280" s="40"/>
      <c r="K280" s="40"/>
      <c r="L280" s="40"/>
      <c r="M280" s="40"/>
      <c r="O280" s="62" t="s">
        <v>3063</v>
      </c>
      <c r="P280" s="796" t="s">
        <v>3928</v>
      </c>
      <c r="Q280" s="234"/>
    </row>
    <row r="281" spans="1:31" s="200" customFormat="1" ht="22.9" customHeight="1">
      <c r="B281" s="192" t="s">
        <v>1238</v>
      </c>
      <c r="C281" s="1424" t="s">
        <v>2887</v>
      </c>
      <c r="D281" s="1429"/>
      <c r="E281" s="1429"/>
      <c r="F281" s="1429"/>
      <c r="G281" s="1429"/>
      <c r="H281" s="1429"/>
      <c r="I281" s="1429"/>
      <c r="J281" s="1429"/>
      <c r="K281" s="1429"/>
      <c r="L281" s="1429"/>
      <c r="M281" s="1429"/>
      <c r="N281" s="1429"/>
      <c r="O281" s="62" t="s">
        <v>1238</v>
      </c>
      <c r="P281" s="796" t="s">
        <v>3928</v>
      </c>
      <c r="Q281" s="234"/>
    </row>
    <row r="282" spans="1:31" s="200" customFormat="1" ht="12" customHeight="1">
      <c r="B282" s="57" t="s">
        <v>3212</v>
      </c>
      <c r="C282" s="40" t="s">
        <v>2888</v>
      </c>
      <c r="D282" s="40"/>
      <c r="E282" s="40"/>
      <c r="F282" s="40"/>
      <c r="G282" s="40"/>
      <c r="H282" s="40"/>
      <c r="I282" s="40"/>
      <c r="J282" s="40"/>
      <c r="K282" s="40"/>
      <c r="L282" s="40"/>
      <c r="M282" s="40"/>
      <c r="O282" s="62" t="s">
        <v>3212</v>
      </c>
      <c r="P282" s="796" t="s">
        <v>3928</v>
      </c>
      <c r="Q282" s="234"/>
    </row>
    <row r="283" spans="1:31" s="200" customFormat="1" ht="22.9" customHeight="1">
      <c r="B283" s="192" t="s">
        <v>2762</v>
      </c>
      <c r="C283" s="1424" t="s">
        <v>1080</v>
      </c>
      <c r="D283" s="1429"/>
      <c r="E283" s="1429"/>
      <c r="F283" s="1429"/>
      <c r="G283" s="1429"/>
      <c r="H283" s="1429"/>
      <c r="I283" s="1429"/>
      <c r="J283" s="1429"/>
      <c r="K283" s="1429"/>
      <c r="L283" s="1429"/>
      <c r="M283" s="1429"/>
      <c r="N283" s="1429"/>
      <c r="O283" s="62" t="s">
        <v>2762</v>
      </c>
      <c r="P283" s="796" t="s">
        <v>3928</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1.45" customHeight="1">
      <c r="A285" s="1390"/>
      <c r="B285" s="1391"/>
      <c r="C285" s="1391"/>
      <c r="D285" s="1391"/>
      <c r="E285" s="1391"/>
      <c r="F285" s="1391"/>
      <c r="G285" s="1391"/>
      <c r="H285" s="1391"/>
      <c r="I285" s="1391"/>
      <c r="J285" s="1391"/>
      <c r="K285" s="1391"/>
      <c r="L285" s="1391"/>
      <c r="M285" s="1391"/>
      <c r="N285" s="1391"/>
      <c r="O285" s="1391"/>
      <c r="P285" s="1391"/>
      <c r="Q285" s="1392"/>
      <c r="R285" s="1466" t="s">
        <v>1932</v>
      </c>
      <c r="S285" s="1466"/>
      <c r="U285" s="185"/>
      <c r="V285" s="185"/>
      <c r="W285" s="185"/>
      <c r="X285" s="185"/>
      <c r="Y285" s="185"/>
      <c r="Z285" s="185"/>
      <c r="AA285" s="185"/>
      <c r="AB285" s="185"/>
      <c r="AC285" s="185"/>
      <c r="AD285" s="185"/>
      <c r="AE285" s="186"/>
    </row>
    <row r="286" spans="1:31" ht="11.45" customHeight="1">
      <c r="A286" s="1393"/>
      <c r="B286" s="1394"/>
      <c r="C286" s="1394"/>
      <c r="D286" s="1394"/>
      <c r="E286" s="1394"/>
      <c r="F286" s="1394"/>
      <c r="G286" s="1394"/>
      <c r="H286" s="1394"/>
      <c r="I286" s="1394"/>
      <c r="J286" s="1394"/>
      <c r="K286" s="1394"/>
      <c r="L286" s="1394"/>
      <c r="M286" s="1394"/>
      <c r="N286" s="1394"/>
      <c r="O286" s="1394"/>
      <c r="P286" s="1394"/>
      <c r="Q286" s="1395"/>
      <c r="R286" s="1466"/>
      <c r="S286" s="1466"/>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1396"/>
      <c r="B288" s="1397"/>
      <c r="C288" s="1397"/>
      <c r="D288" s="1397"/>
      <c r="E288" s="1397"/>
      <c r="F288" s="1397"/>
      <c r="G288" s="1397"/>
      <c r="H288" s="1397"/>
      <c r="I288" s="1397"/>
      <c r="J288" s="1397"/>
      <c r="K288" s="1397"/>
      <c r="L288" s="1397"/>
      <c r="M288" s="1397"/>
      <c r="N288" s="1397"/>
      <c r="O288" s="1397"/>
      <c r="P288" s="1397"/>
      <c r="Q288" s="1398"/>
    </row>
    <row r="289" spans="1:256" ht="11.45" customHeight="1">
      <c r="A289" s="1408"/>
      <c r="B289" s="1409"/>
      <c r="C289" s="1409"/>
      <c r="D289" s="1409"/>
      <c r="E289" s="1409"/>
      <c r="F289" s="1409"/>
      <c r="G289" s="1409"/>
      <c r="H289" s="1409"/>
      <c r="I289" s="1409"/>
      <c r="J289" s="1409"/>
      <c r="K289" s="1409"/>
      <c r="L289" s="1409"/>
      <c r="M289" s="1409"/>
      <c r="N289" s="1409"/>
      <c r="O289" s="1409"/>
      <c r="P289" s="1409"/>
      <c r="Q289" s="1410"/>
    </row>
    <row r="290" spans="1:256" ht="13.9" customHeight="1">
      <c r="A290" s="741">
        <v>18</v>
      </c>
      <c r="B290" s="1437" t="s">
        <v>3325</v>
      </c>
      <c r="C290" s="1437"/>
      <c r="D290" s="1437"/>
      <c r="E290" s="1437"/>
      <c r="F290" s="1437"/>
      <c r="G290" s="1437"/>
      <c r="H290" s="740"/>
      <c r="I290" s="740"/>
      <c r="J290" s="740"/>
      <c r="K290" s="740"/>
      <c r="L290" s="740"/>
      <c r="M290" s="740"/>
      <c r="O290" s="180" t="s">
        <v>2923</v>
      </c>
      <c r="P290" s="1388"/>
      <c r="Q290" s="1389"/>
    </row>
    <row r="291" spans="1:256" ht="11.45" customHeight="1">
      <c r="B291" s="195" t="s">
        <v>3382</v>
      </c>
      <c r="P291" s="796" t="s">
        <v>3926</v>
      </c>
      <c r="Q291" s="234"/>
    </row>
    <row r="292" spans="1:256" ht="12" customHeight="1">
      <c r="B292" s="197" t="s">
        <v>3326</v>
      </c>
      <c r="C292" s="197"/>
      <c r="D292" s="197"/>
      <c r="E292" s="197"/>
      <c r="F292" s="197"/>
      <c r="G292" s="197"/>
      <c r="H292" s="197"/>
      <c r="I292" s="197"/>
      <c r="J292" s="197"/>
      <c r="K292" s="197"/>
      <c r="L292" s="197"/>
      <c r="P292" s="796" t="s">
        <v>3928</v>
      </c>
      <c r="Q292" s="234"/>
    </row>
    <row r="293" spans="1:256" ht="11.45" customHeight="1">
      <c r="B293" s="192" t="s">
        <v>3060</v>
      </c>
      <c r="C293" s="263" t="s">
        <v>673</v>
      </c>
      <c r="D293" s="40"/>
      <c r="E293" s="40"/>
      <c r="F293" s="40"/>
      <c r="G293" s="40"/>
      <c r="H293" s="40"/>
      <c r="I293" s="40"/>
      <c r="J293" s="40"/>
      <c r="K293" s="40"/>
      <c r="L293" s="40"/>
      <c r="M293" s="40"/>
      <c r="N293" s="221"/>
    </row>
    <row r="294" spans="1:256" ht="33.6" customHeight="1">
      <c r="A294" s="194"/>
      <c r="C294" s="1420" t="s">
        <v>1081</v>
      </c>
      <c r="D294" s="1420"/>
      <c r="E294" s="1420"/>
      <c r="F294" s="1420"/>
      <c r="G294" s="1420"/>
      <c r="H294" s="1420"/>
      <c r="I294" s="1420"/>
      <c r="J294" s="1420"/>
      <c r="K294" s="1420"/>
      <c r="L294" s="1420"/>
      <c r="M294" s="1420"/>
      <c r="N294" s="1420"/>
      <c r="O294" s="221" t="s">
        <v>3060</v>
      </c>
      <c r="P294" s="81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438" t="s">
        <v>674</v>
      </c>
      <c r="D296" s="1438"/>
      <c r="E296" s="1438"/>
      <c r="F296" s="1438"/>
      <c r="G296" s="1438"/>
      <c r="H296" s="1438"/>
      <c r="I296" s="1438"/>
      <c r="J296" s="1438"/>
      <c r="K296" s="1438"/>
      <c r="L296" s="1438"/>
      <c r="M296" s="1438"/>
      <c r="O296" s="221" t="s">
        <v>3063</v>
      </c>
      <c r="P296" s="796" t="s">
        <v>3928</v>
      </c>
      <c r="Q296" s="234"/>
    </row>
    <row r="297" spans="1:256" ht="24" customHeight="1">
      <c r="A297" s="194"/>
      <c r="C297" s="296" t="s">
        <v>2764</v>
      </c>
      <c r="D297" s="297" t="s">
        <v>1766</v>
      </c>
      <c r="E297" s="181"/>
      <c r="F297" s="181"/>
      <c r="G297" s="1417" t="s">
        <v>2167</v>
      </c>
      <c r="H297" s="1418"/>
      <c r="I297" s="1418"/>
      <c r="J297" s="1418"/>
      <c r="K297" s="1418"/>
      <c r="L297" s="1418"/>
      <c r="M297" s="1418"/>
      <c r="N297" s="1419"/>
      <c r="O297" s="301" t="s">
        <v>2764</v>
      </c>
      <c r="P297" s="812" t="s">
        <v>3928</v>
      </c>
      <c r="Q297" s="353"/>
    </row>
    <row r="298" spans="1:256" ht="12.6" customHeight="1">
      <c r="A298" s="194"/>
      <c r="C298" s="296" t="s">
        <v>2765</v>
      </c>
      <c r="D298" s="297" t="s">
        <v>1768</v>
      </c>
      <c r="E298" s="181"/>
      <c r="F298" s="181"/>
      <c r="G298" s="1390" t="s">
        <v>3578</v>
      </c>
      <c r="H298" s="1189"/>
      <c r="I298" s="1189"/>
      <c r="J298" s="1189"/>
      <c r="K298" s="1189"/>
      <c r="L298" s="1189"/>
      <c r="M298" s="1189"/>
      <c r="N298" s="1190"/>
      <c r="O298" s="301" t="s">
        <v>2765</v>
      </c>
      <c r="P298" s="800" t="s">
        <v>3928</v>
      </c>
      <c r="Q298" s="354"/>
    </row>
    <row r="299" spans="1:256" ht="12.6" customHeight="1">
      <c r="A299" s="194"/>
      <c r="C299" s="296"/>
      <c r="D299" s="298"/>
      <c r="E299" s="181"/>
      <c r="F299" s="181"/>
      <c r="G299" s="1414" t="s">
        <v>2780</v>
      </c>
      <c r="H299" s="1415"/>
      <c r="I299" s="1415"/>
      <c r="J299" s="1415"/>
      <c r="K299" s="1415"/>
      <c r="L299" s="1415"/>
      <c r="M299" s="1415"/>
      <c r="N299" s="1416"/>
      <c r="O299" s="301"/>
      <c r="P299" s="801" t="s">
        <v>3928</v>
      </c>
      <c r="Q299" s="355"/>
    </row>
    <row r="300" spans="1:256" ht="24" customHeight="1">
      <c r="A300" s="194"/>
      <c r="C300" s="296" t="s">
        <v>2766</v>
      </c>
      <c r="D300" s="1428" t="s">
        <v>1767</v>
      </c>
      <c r="E300" s="1429"/>
      <c r="F300" s="941"/>
      <c r="G300" s="1421" t="s">
        <v>1712</v>
      </c>
      <c r="H300" s="1422"/>
      <c r="I300" s="1422"/>
      <c r="J300" s="1422"/>
      <c r="K300" s="1422"/>
      <c r="L300" s="1422"/>
      <c r="M300" s="1422"/>
      <c r="N300" s="1423"/>
      <c r="O300" s="301" t="s">
        <v>2766</v>
      </c>
      <c r="P300" s="812" t="s">
        <v>3928</v>
      </c>
      <c r="Q300" s="353"/>
    </row>
    <row r="301" spans="1:256" ht="12.6" customHeight="1">
      <c r="A301" s="194"/>
      <c r="C301" s="296" t="s">
        <v>3571</v>
      </c>
      <c r="D301" s="1428" t="s">
        <v>1769</v>
      </c>
      <c r="E301" s="1428"/>
      <c r="F301" s="1467"/>
      <c r="G301" s="1469" t="s">
        <v>3215</v>
      </c>
      <c r="H301" s="1470"/>
      <c r="I301" s="1470"/>
      <c r="J301" s="1470"/>
      <c r="K301" s="1470"/>
      <c r="L301" s="1470"/>
      <c r="M301" s="1470"/>
      <c r="N301" s="1471"/>
      <c r="O301" s="301" t="s">
        <v>3571</v>
      </c>
      <c r="P301" s="813" t="s">
        <v>3928</v>
      </c>
      <c r="Q301" s="356"/>
    </row>
    <row r="302" spans="1:256" ht="12.6" customHeight="1">
      <c r="A302" s="194"/>
      <c r="C302" s="296"/>
      <c r="D302" s="1428"/>
      <c r="E302" s="1428"/>
      <c r="F302" s="1467"/>
      <c r="G302" s="1393" t="s">
        <v>2277</v>
      </c>
      <c r="H302" s="1169"/>
      <c r="I302" s="1169"/>
      <c r="J302" s="1169"/>
      <c r="K302" s="1169"/>
      <c r="L302" s="1169"/>
      <c r="M302" s="1169"/>
      <c r="N302" s="1170"/>
      <c r="P302" s="814" t="s">
        <v>3928</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11.45" customHeight="1">
      <c r="A305" s="1390"/>
      <c r="B305" s="1391"/>
      <c r="C305" s="1391"/>
      <c r="D305" s="1391"/>
      <c r="E305" s="1391"/>
      <c r="F305" s="1391"/>
      <c r="G305" s="1391"/>
      <c r="H305" s="1391"/>
      <c r="I305" s="1391"/>
      <c r="J305" s="1391"/>
      <c r="K305" s="1391"/>
      <c r="L305" s="1391"/>
      <c r="M305" s="1391"/>
      <c r="N305" s="1391"/>
      <c r="O305" s="1391"/>
      <c r="P305" s="1391"/>
      <c r="Q305" s="1392"/>
      <c r="R305" s="1475" t="s">
        <v>1932</v>
      </c>
      <c r="S305" s="1475"/>
      <c r="U305" s="185"/>
      <c r="V305" s="185"/>
      <c r="W305" s="185"/>
      <c r="X305" s="185"/>
      <c r="Y305" s="185"/>
      <c r="Z305" s="185"/>
      <c r="AA305" s="185"/>
      <c r="AB305" s="185"/>
      <c r="AC305" s="185"/>
      <c r="AD305" s="185"/>
      <c r="AE305" s="186"/>
    </row>
    <row r="306" spans="1:31" ht="11.45" customHeight="1">
      <c r="A306" s="1393"/>
      <c r="B306" s="1394"/>
      <c r="C306" s="1394"/>
      <c r="D306" s="1394"/>
      <c r="E306" s="1394"/>
      <c r="F306" s="1394"/>
      <c r="G306" s="1394"/>
      <c r="H306" s="1394"/>
      <c r="I306" s="1394"/>
      <c r="J306" s="1394"/>
      <c r="K306" s="1394"/>
      <c r="L306" s="1394"/>
      <c r="M306" s="1394"/>
      <c r="N306" s="1394"/>
      <c r="O306" s="1394"/>
      <c r="P306" s="1394"/>
      <c r="Q306" s="1395"/>
      <c r="R306" s="1475"/>
      <c r="S306" s="1475"/>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1396"/>
      <c r="B308" s="1397"/>
      <c r="C308" s="1397"/>
      <c r="D308" s="1397"/>
      <c r="E308" s="1397"/>
      <c r="F308" s="1397"/>
      <c r="G308" s="1397"/>
      <c r="H308" s="1397"/>
      <c r="I308" s="1397"/>
      <c r="J308" s="1397"/>
      <c r="K308" s="1397"/>
      <c r="L308" s="1397"/>
      <c r="M308" s="1397"/>
      <c r="N308" s="1397"/>
      <c r="O308" s="1397"/>
      <c r="P308" s="1397"/>
      <c r="Q308" s="1398"/>
    </row>
    <row r="309" spans="1:31" ht="11.45" customHeight="1">
      <c r="A309" s="1408"/>
      <c r="B309" s="1409"/>
      <c r="C309" s="1409"/>
      <c r="D309" s="1409"/>
      <c r="E309" s="1409"/>
      <c r="F309" s="1409"/>
      <c r="G309" s="1409"/>
      <c r="H309" s="1409"/>
      <c r="I309" s="1409"/>
      <c r="J309" s="1409"/>
      <c r="K309" s="1409"/>
      <c r="L309" s="1409"/>
      <c r="M309" s="1409"/>
      <c r="N309" s="1409"/>
      <c r="O309" s="1409"/>
      <c r="P309" s="1409"/>
      <c r="Q309" s="1410"/>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3122</v>
      </c>
      <c r="C311" s="741"/>
      <c r="D311" s="740"/>
      <c r="E311" s="740"/>
      <c r="F311" s="740"/>
      <c r="G311" s="740"/>
      <c r="H311" s="740"/>
      <c r="O311" s="180" t="s">
        <v>2923</v>
      </c>
      <c r="P311" s="1388"/>
      <c r="Q311" s="1389"/>
    </row>
    <row r="312" spans="1:31" ht="3" customHeight="1"/>
    <row r="313" spans="1:31" ht="11.45" customHeight="1">
      <c r="B313" s="195" t="s">
        <v>3514</v>
      </c>
      <c r="P313" s="796" t="s">
        <v>3928</v>
      </c>
      <c r="Q313" s="234"/>
    </row>
    <row r="314" spans="1:31" ht="11.45" customHeight="1">
      <c r="B314" s="195" t="s">
        <v>3515</v>
      </c>
      <c r="P314" s="796" t="s">
        <v>3926</v>
      </c>
      <c r="Q314" s="234"/>
    </row>
    <row r="315" spans="1:31" ht="11.45" customHeight="1">
      <c r="B315" s="195" t="s">
        <v>924</v>
      </c>
      <c r="L315" s="1472" t="s">
        <v>4002</v>
      </c>
      <c r="M315" s="1473"/>
      <c r="N315" s="1473"/>
      <c r="O315" s="1474"/>
      <c r="P315" s="796" t="s">
        <v>3928</v>
      </c>
      <c r="Q315" s="234"/>
    </row>
    <row r="316" spans="1:31" ht="11.45" customHeight="1">
      <c r="B316" s="690" t="s">
        <v>3516</v>
      </c>
      <c r="L316" s="1430"/>
      <c r="M316" s="1431"/>
      <c r="N316" s="1431"/>
      <c r="O316" s="1432"/>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13.15" customHeight="1">
      <c r="A319" s="1390" t="s">
        <v>4003</v>
      </c>
      <c r="B319" s="1391"/>
      <c r="C319" s="1391"/>
      <c r="D319" s="1391"/>
      <c r="E319" s="1391"/>
      <c r="F319" s="1391"/>
      <c r="G319" s="1391"/>
      <c r="H319" s="1391"/>
      <c r="I319" s="1391"/>
      <c r="J319" s="1391"/>
      <c r="K319" s="1391"/>
      <c r="L319" s="1391"/>
      <c r="M319" s="1391"/>
      <c r="N319" s="1391"/>
      <c r="O319" s="1391"/>
      <c r="P319" s="1391"/>
      <c r="Q319" s="1392"/>
      <c r="R319" s="1466" t="s">
        <v>1932</v>
      </c>
      <c r="S319" s="1466"/>
      <c r="U319" s="185"/>
      <c r="V319" s="185"/>
      <c r="W319" s="185"/>
      <c r="X319" s="185"/>
      <c r="Y319" s="185"/>
      <c r="Z319" s="185"/>
      <c r="AA319" s="185"/>
      <c r="AB319" s="185"/>
      <c r="AC319" s="185"/>
      <c r="AD319" s="185"/>
      <c r="AE319" s="186"/>
    </row>
    <row r="320" spans="1:31" ht="13.15" customHeight="1">
      <c r="A320" s="1425"/>
      <c r="B320" s="1426"/>
      <c r="C320" s="1426"/>
      <c r="D320" s="1426"/>
      <c r="E320" s="1426"/>
      <c r="F320" s="1426"/>
      <c r="G320" s="1426"/>
      <c r="H320" s="1426"/>
      <c r="I320" s="1426"/>
      <c r="J320" s="1426"/>
      <c r="K320" s="1426"/>
      <c r="L320" s="1426"/>
      <c r="M320" s="1426"/>
      <c r="N320" s="1426"/>
      <c r="O320" s="1426"/>
      <c r="P320" s="1426"/>
      <c r="Q320" s="1427"/>
      <c r="R320" s="1466"/>
      <c r="S320" s="1466"/>
    </row>
    <row r="321" spans="1:31" ht="13.15" customHeight="1">
      <c r="A321" s="1393"/>
      <c r="B321" s="1394"/>
      <c r="C321" s="1394"/>
      <c r="D321" s="1394"/>
      <c r="E321" s="1394"/>
      <c r="F321" s="1394"/>
      <c r="G321" s="1394"/>
      <c r="H321" s="1394"/>
      <c r="I321" s="1394"/>
      <c r="J321" s="1394"/>
      <c r="K321" s="1394"/>
      <c r="L321" s="1394"/>
      <c r="M321" s="1394"/>
      <c r="N321" s="1394"/>
      <c r="O321" s="1394"/>
      <c r="P321" s="1394"/>
      <c r="Q321" s="1395"/>
      <c r="R321" s="1466"/>
      <c r="S321" s="1466"/>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1396"/>
      <c r="B323" s="1397"/>
      <c r="C323" s="1397"/>
      <c r="D323" s="1397"/>
      <c r="E323" s="1397"/>
      <c r="F323" s="1397"/>
      <c r="G323" s="1397"/>
      <c r="H323" s="1397"/>
      <c r="I323" s="1397"/>
      <c r="J323" s="1397"/>
      <c r="K323" s="1397"/>
      <c r="L323" s="1397"/>
      <c r="M323" s="1397"/>
      <c r="N323" s="1397"/>
      <c r="O323" s="1397"/>
      <c r="P323" s="1397"/>
      <c r="Q323" s="1398"/>
    </row>
    <row r="324" spans="1:31" ht="13.15" customHeight="1">
      <c r="A324" s="1442"/>
      <c r="B324" s="1443"/>
      <c r="C324" s="1443"/>
      <c r="D324" s="1443"/>
      <c r="E324" s="1443"/>
      <c r="F324" s="1443"/>
      <c r="G324" s="1443"/>
      <c r="H324" s="1443"/>
      <c r="I324" s="1443"/>
      <c r="J324" s="1443"/>
      <c r="K324" s="1443"/>
      <c r="L324" s="1443"/>
      <c r="M324" s="1443"/>
      <c r="N324" s="1443"/>
      <c r="O324" s="1443"/>
      <c r="P324" s="1443"/>
      <c r="Q324" s="1444"/>
    </row>
    <row r="325" spans="1:31" ht="13.15" customHeight="1">
      <c r="A325" s="1408"/>
      <c r="B325" s="1409"/>
      <c r="C325" s="1409"/>
      <c r="D325" s="1409"/>
      <c r="E325" s="1409"/>
      <c r="F325" s="1409"/>
      <c r="G325" s="1409"/>
      <c r="H325" s="1409"/>
      <c r="I325" s="1409"/>
      <c r="J325" s="1409"/>
      <c r="K325" s="1409"/>
      <c r="L325" s="1409"/>
      <c r="M325" s="1409"/>
      <c r="N325" s="1409"/>
      <c r="O325" s="1409"/>
      <c r="P325" s="1409"/>
      <c r="Q325" s="1410"/>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2923</v>
      </c>
      <c r="P327" s="1388"/>
      <c r="Q327" s="1389"/>
    </row>
    <row r="328" spans="1:31" ht="3" customHeight="1"/>
    <row r="329" spans="1:31" ht="22.15" customHeight="1">
      <c r="B329" s="192" t="s">
        <v>3060</v>
      </c>
      <c r="C329" s="1424" t="s">
        <v>2543</v>
      </c>
      <c r="D329" s="1424"/>
      <c r="E329" s="1424"/>
      <c r="F329" s="1424"/>
      <c r="G329" s="1424"/>
      <c r="H329" s="1424"/>
      <c r="I329" s="1424"/>
      <c r="J329" s="1424"/>
      <c r="K329" s="1424"/>
      <c r="L329" s="1424"/>
      <c r="M329" s="1424"/>
      <c r="N329" s="1424"/>
      <c r="O329" s="221" t="s">
        <v>3060</v>
      </c>
      <c r="P329" s="796" t="s">
        <v>3928</v>
      </c>
      <c r="Q329" s="234"/>
    </row>
    <row r="330" spans="1:31" ht="11.45" customHeight="1">
      <c r="B330" s="192" t="s">
        <v>3063</v>
      </c>
      <c r="C330" s="1424" t="s">
        <v>356</v>
      </c>
      <c r="D330" s="1424"/>
      <c r="E330" s="1424"/>
      <c r="F330" s="1424"/>
      <c r="G330" s="1424"/>
      <c r="H330" s="1424"/>
      <c r="I330" s="1424"/>
      <c r="J330" s="1424"/>
      <c r="K330" s="1424"/>
      <c r="L330" s="1424"/>
      <c r="M330" s="740"/>
      <c r="O330" s="221" t="s">
        <v>3063</v>
      </c>
      <c r="P330" s="796" t="s">
        <v>3928</v>
      </c>
      <c r="Q330" s="234"/>
    </row>
    <row r="331" spans="1:31" ht="11.45" customHeight="1">
      <c r="B331" s="192" t="s">
        <v>1238</v>
      </c>
      <c r="C331" s="197" t="s">
        <v>1965</v>
      </c>
      <c r="D331" s="197"/>
      <c r="E331" s="197"/>
      <c r="F331" s="197"/>
      <c r="G331" s="197"/>
      <c r="H331" s="197"/>
      <c r="I331" s="197"/>
      <c r="J331" s="197"/>
      <c r="K331" s="197"/>
      <c r="L331" s="197"/>
      <c r="M331" s="197"/>
      <c r="O331" s="221" t="s">
        <v>1238</v>
      </c>
      <c r="P331" s="796" t="s">
        <v>3928</v>
      </c>
      <c r="Q331" s="234"/>
    </row>
    <row r="332" spans="1:31" ht="22.15" customHeight="1">
      <c r="B332" s="192" t="s">
        <v>3212</v>
      </c>
      <c r="C332" s="1424" t="s">
        <v>1058</v>
      </c>
      <c r="D332" s="1424"/>
      <c r="E332" s="1424"/>
      <c r="F332" s="1424"/>
      <c r="G332" s="1424"/>
      <c r="H332" s="1424"/>
      <c r="I332" s="1424"/>
      <c r="J332" s="1424"/>
      <c r="K332" s="1424"/>
      <c r="L332" s="1424"/>
      <c r="M332" s="1424"/>
      <c r="N332" s="1424"/>
      <c r="O332" s="221" t="s">
        <v>3212</v>
      </c>
      <c r="P332" s="796" t="s">
        <v>3928</v>
      </c>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11.45" customHeight="1">
      <c r="A334" s="1390" t="s">
        <v>4004</v>
      </c>
      <c r="B334" s="1391"/>
      <c r="C334" s="1391"/>
      <c r="D334" s="1391"/>
      <c r="E334" s="1391"/>
      <c r="F334" s="1391"/>
      <c r="G334" s="1391"/>
      <c r="H334" s="1391"/>
      <c r="I334" s="1391"/>
      <c r="J334" s="1391"/>
      <c r="K334" s="1391"/>
      <c r="L334" s="1391"/>
      <c r="M334" s="1391"/>
      <c r="N334" s="1391"/>
      <c r="O334" s="1391"/>
      <c r="P334" s="1391"/>
      <c r="Q334" s="1392"/>
      <c r="U334" s="185"/>
      <c r="V334" s="185"/>
      <c r="W334" s="185"/>
      <c r="X334" s="185"/>
      <c r="Y334" s="185"/>
      <c r="Z334" s="185"/>
      <c r="AA334" s="185"/>
      <c r="AB334" s="185"/>
      <c r="AC334" s="185"/>
      <c r="AD334" s="185"/>
      <c r="AE334" s="186"/>
    </row>
    <row r="335" spans="1:31" ht="11.45" customHeight="1">
      <c r="A335" s="1393"/>
      <c r="B335" s="1394"/>
      <c r="C335" s="1394"/>
      <c r="D335" s="1394"/>
      <c r="E335" s="1394"/>
      <c r="F335" s="1394"/>
      <c r="G335" s="1394"/>
      <c r="H335" s="1394"/>
      <c r="I335" s="1394"/>
      <c r="J335" s="1394"/>
      <c r="K335" s="1394"/>
      <c r="L335" s="1394"/>
      <c r="M335" s="1394"/>
      <c r="N335" s="1394"/>
      <c r="O335" s="1394"/>
      <c r="P335" s="1394"/>
      <c r="Q335" s="1395"/>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1396"/>
      <c r="B338" s="1397"/>
      <c r="C338" s="1397"/>
      <c r="D338" s="1397"/>
      <c r="E338" s="1397"/>
      <c r="F338" s="1397"/>
      <c r="G338" s="1397"/>
      <c r="H338" s="1397"/>
      <c r="I338" s="1397"/>
      <c r="J338" s="1397"/>
      <c r="K338" s="1397"/>
      <c r="L338" s="1397"/>
      <c r="M338" s="1397"/>
      <c r="N338" s="1397"/>
      <c r="O338" s="1397"/>
      <c r="P338" s="1397"/>
      <c r="Q338" s="1398"/>
    </row>
    <row r="339" spans="1:31" ht="11.45" customHeight="1">
      <c r="A339" s="1408"/>
      <c r="B339" s="1409"/>
      <c r="C339" s="1409"/>
      <c r="D339" s="1409"/>
      <c r="E339" s="1409"/>
      <c r="F339" s="1409"/>
      <c r="G339" s="1409"/>
      <c r="H339" s="1409"/>
      <c r="I339" s="1409"/>
      <c r="J339" s="1409"/>
      <c r="K339" s="1409"/>
      <c r="L339" s="1409"/>
      <c r="M339" s="1409"/>
      <c r="N339" s="1409"/>
      <c r="O339" s="1409"/>
      <c r="P339" s="1409"/>
      <c r="Q339" s="1410"/>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1553</v>
      </c>
      <c r="C341" s="5"/>
      <c r="D341" s="5"/>
      <c r="E341" s="5"/>
      <c r="F341" s="5"/>
      <c r="G341" s="5"/>
      <c r="H341" s="740"/>
      <c r="I341" s="740"/>
      <c r="J341" s="740"/>
      <c r="K341" s="740"/>
      <c r="L341" s="740"/>
      <c r="M341" s="740"/>
      <c r="O341" s="180" t="s">
        <v>2923</v>
      </c>
      <c r="P341" s="1388"/>
      <c r="Q341" s="1389"/>
    </row>
    <row r="342" spans="1:31" ht="12" customHeight="1">
      <c r="B342" s="57" t="s">
        <v>3060</v>
      </c>
      <c r="C342" s="160" t="s">
        <v>2083</v>
      </c>
      <c r="D342" s="744"/>
      <c r="E342" s="744"/>
      <c r="F342" s="744"/>
      <c r="G342" s="744"/>
      <c r="H342" s="744"/>
      <c r="I342" s="52"/>
      <c r="J342" s="62" t="s">
        <v>3060</v>
      </c>
      <c r="K342" s="1405"/>
      <c r="L342" s="1406"/>
      <c r="M342" s="1406"/>
      <c r="N342" s="1406"/>
      <c r="O342" s="1407"/>
      <c r="P342" s="796"/>
      <c r="Q342" s="234"/>
    </row>
    <row r="343" spans="1:31" ht="24" customHeight="1">
      <c r="B343" s="192" t="s">
        <v>3063</v>
      </c>
      <c r="C343" s="1353" t="s">
        <v>2907</v>
      </c>
      <c r="D343" s="1353"/>
      <c r="E343" s="1353"/>
      <c r="F343" s="1353"/>
      <c r="G343" s="1353"/>
      <c r="H343" s="1353"/>
      <c r="I343" s="1353"/>
      <c r="J343" s="1353"/>
      <c r="K343" s="1353"/>
      <c r="L343" s="1353"/>
      <c r="M343" s="1353"/>
      <c r="O343" s="221" t="s">
        <v>3063</v>
      </c>
      <c r="P343" s="812"/>
      <c r="Q343" s="234"/>
    </row>
    <row r="344" spans="1:31" ht="12" customHeight="1">
      <c r="B344" s="57" t="s">
        <v>1238</v>
      </c>
      <c r="C344" s="65" t="s">
        <v>1554</v>
      </c>
      <c r="D344" s="65"/>
      <c r="E344" s="65"/>
      <c r="F344" s="65"/>
      <c r="G344" s="65"/>
      <c r="H344" s="65"/>
      <c r="I344" s="65"/>
      <c r="J344" s="65"/>
      <c r="K344" s="65"/>
      <c r="L344" s="40"/>
      <c r="M344" s="40"/>
      <c r="O344" s="62" t="s">
        <v>1238</v>
      </c>
      <c r="P344" s="796"/>
      <c r="Q344" s="234"/>
    </row>
    <row r="345" spans="1:31" ht="12" customHeight="1">
      <c r="B345" s="57" t="s">
        <v>3212</v>
      </c>
      <c r="C345" s="65" t="s">
        <v>355</v>
      </c>
      <c r="D345" s="65"/>
      <c r="E345" s="65"/>
      <c r="F345" s="65"/>
      <c r="G345" s="65"/>
      <c r="H345" s="65"/>
      <c r="I345" s="65"/>
      <c r="J345" s="65"/>
      <c r="K345" s="65"/>
      <c r="L345" s="65"/>
      <c r="M345" s="65"/>
      <c r="O345" s="62" t="s">
        <v>3212</v>
      </c>
      <c r="P345" s="796"/>
      <c r="Q345" s="234"/>
    </row>
    <row r="346" spans="1:31" ht="22.9" customHeight="1">
      <c r="B346" s="192" t="s">
        <v>2762</v>
      </c>
      <c r="C346" s="1424" t="s">
        <v>429</v>
      </c>
      <c r="D346" s="1424"/>
      <c r="E346" s="1424"/>
      <c r="F346" s="1424"/>
      <c r="G346" s="1424"/>
      <c r="H346" s="1424"/>
      <c r="I346" s="1424"/>
      <c r="J346" s="1424"/>
      <c r="K346" s="1424"/>
      <c r="L346" s="1424"/>
      <c r="M346" s="1424"/>
      <c r="N346" s="1424"/>
      <c r="O346" s="221" t="s">
        <v>2762</v>
      </c>
      <c r="P346" s="812"/>
      <c r="Q346" s="353"/>
    </row>
    <row r="347" spans="1:31" ht="12" customHeight="1">
      <c r="B347" s="57" t="s">
        <v>2763</v>
      </c>
      <c r="C347" s="65" t="s">
        <v>1985</v>
      </c>
      <c r="D347" s="65"/>
      <c r="E347" s="65"/>
      <c r="F347" s="65"/>
      <c r="G347" s="65"/>
      <c r="H347" s="65"/>
      <c r="I347" s="65"/>
      <c r="J347" s="65"/>
      <c r="K347" s="65"/>
      <c r="L347" s="65"/>
      <c r="M347" s="65"/>
      <c r="O347" s="62" t="s">
        <v>2763</v>
      </c>
      <c r="P347" s="796"/>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421" t="s">
        <v>1580</v>
      </c>
      <c r="B349" s="1433"/>
      <c r="C349" s="1433"/>
      <c r="D349" s="1433"/>
      <c r="E349" s="1433"/>
      <c r="F349" s="1433"/>
      <c r="G349" s="1433"/>
      <c r="H349" s="1433"/>
      <c r="I349" s="1433"/>
      <c r="J349" s="1433"/>
      <c r="K349" s="1433"/>
      <c r="L349" s="1433"/>
      <c r="M349" s="1433"/>
      <c r="N349" s="1433"/>
      <c r="O349" s="1433"/>
      <c r="P349" s="1433"/>
      <c r="Q349" s="1434"/>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1411"/>
      <c r="B351" s="1412"/>
      <c r="C351" s="1412"/>
      <c r="D351" s="1412"/>
      <c r="E351" s="1412"/>
      <c r="F351" s="1412"/>
      <c r="G351" s="1412"/>
      <c r="H351" s="1412"/>
      <c r="I351" s="1412"/>
      <c r="J351" s="1412"/>
      <c r="K351" s="1412"/>
      <c r="L351" s="1412"/>
      <c r="M351" s="1412"/>
      <c r="N351" s="1412"/>
      <c r="O351" s="1412"/>
      <c r="P351" s="1412"/>
      <c r="Q351" s="1413"/>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3755</v>
      </c>
      <c r="C353" s="5"/>
      <c r="D353" s="5"/>
      <c r="E353" s="5"/>
      <c r="F353" s="5"/>
      <c r="G353" s="5"/>
      <c r="H353" s="740"/>
      <c r="I353" s="740"/>
      <c r="J353" s="740"/>
      <c r="O353" s="180" t="s">
        <v>2923</v>
      </c>
      <c r="P353" s="1388"/>
      <c r="Q353" s="1389"/>
    </row>
    <row r="354" spans="1:31" ht="11.45" customHeight="1">
      <c r="B354" s="57" t="s">
        <v>3060</v>
      </c>
      <c r="C354" s="160" t="s">
        <v>1657</v>
      </c>
      <c r="D354" s="744"/>
      <c r="E354" s="744"/>
      <c r="F354" s="744"/>
      <c r="G354" s="744"/>
      <c r="H354" s="744"/>
      <c r="I354" s="52"/>
      <c r="J354" s="62" t="s">
        <v>3060</v>
      </c>
      <c r="K354" s="1405"/>
      <c r="L354" s="1406"/>
      <c r="M354" s="1406"/>
      <c r="N354" s="1406"/>
      <c r="O354" s="1407"/>
      <c r="P354" s="796"/>
      <c r="Q354" s="234"/>
    </row>
    <row r="355" spans="1:31" ht="11.45" customHeight="1">
      <c r="B355" s="57" t="s">
        <v>3063</v>
      </c>
      <c r="C355" s="65" t="s">
        <v>2767</v>
      </c>
      <c r="D355" s="65"/>
      <c r="E355" s="65"/>
      <c r="F355" s="65"/>
      <c r="G355" s="65"/>
      <c r="H355" s="65"/>
      <c r="I355" s="65"/>
      <c r="J355" s="65"/>
      <c r="K355" s="65"/>
      <c r="L355" s="40"/>
      <c r="M355" s="40"/>
      <c r="O355" s="62" t="s">
        <v>3063</v>
      </c>
      <c r="P355" s="796"/>
      <c r="Q355" s="234"/>
    </row>
    <row r="356" spans="1:31" ht="11.45" customHeight="1">
      <c r="B356" s="57" t="s">
        <v>1238</v>
      </c>
      <c r="C356" s="65" t="s">
        <v>2147</v>
      </c>
      <c r="D356" s="65"/>
      <c r="E356" s="65"/>
      <c r="F356" s="65"/>
      <c r="G356" s="65"/>
      <c r="H356" s="65"/>
      <c r="I356" s="65"/>
      <c r="J356" s="65"/>
      <c r="K356" s="65"/>
      <c r="L356" s="65"/>
      <c r="M356" s="65"/>
      <c r="O356" s="62" t="s">
        <v>1238</v>
      </c>
      <c r="P356" s="796"/>
      <c r="Q356" s="234"/>
    </row>
    <row r="357" spans="1:31" ht="11.45" customHeight="1">
      <c r="B357" s="57" t="s">
        <v>3212</v>
      </c>
      <c r="C357" s="65" t="s">
        <v>3090</v>
      </c>
      <c r="D357" s="65"/>
      <c r="E357" s="65"/>
      <c r="F357" s="65"/>
      <c r="G357" s="65"/>
      <c r="H357" s="65"/>
      <c r="I357" s="65"/>
      <c r="J357" s="65"/>
      <c r="K357" s="65"/>
      <c r="L357" s="65"/>
      <c r="M357" s="65"/>
      <c r="O357" s="62" t="s">
        <v>3212</v>
      </c>
      <c r="P357" s="796"/>
      <c r="Q357" s="234"/>
    </row>
    <row r="358" spans="1:31" ht="22.15" customHeight="1">
      <c r="B358" s="192" t="s">
        <v>2762</v>
      </c>
      <c r="C358" s="1424" t="s">
        <v>635</v>
      </c>
      <c r="D358" s="1424"/>
      <c r="E358" s="1424"/>
      <c r="F358" s="1424"/>
      <c r="G358" s="1424"/>
      <c r="H358" s="1424"/>
      <c r="I358" s="1424"/>
      <c r="J358" s="1424"/>
      <c r="K358" s="1424"/>
      <c r="L358" s="1424"/>
      <c r="M358" s="1424"/>
      <c r="N358" s="1424"/>
      <c r="O358" s="221" t="s">
        <v>2762</v>
      </c>
      <c r="P358" s="796"/>
      <c r="Q358" s="234"/>
    </row>
    <row r="359" spans="1:31" ht="20.45" customHeight="1">
      <c r="B359" s="192" t="s">
        <v>2763</v>
      </c>
      <c r="C359" s="1353" t="s">
        <v>230</v>
      </c>
      <c r="D359" s="1353"/>
      <c r="E359" s="1353"/>
      <c r="F359" s="1353"/>
      <c r="G359" s="1353"/>
      <c r="H359" s="1353"/>
      <c r="I359" s="1353"/>
      <c r="J359" s="1353"/>
      <c r="K359" s="1353"/>
      <c r="L359" s="1353"/>
      <c r="M359" s="1353"/>
      <c r="N359" s="1353"/>
      <c r="O359" s="221" t="s">
        <v>2763</v>
      </c>
      <c r="P359" s="812"/>
      <c r="Q359" s="234"/>
    </row>
    <row r="360" spans="1:31" ht="11.45" customHeight="1">
      <c r="B360" s="57" t="s">
        <v>3020</v>
      </c>
      <c r="C360" s="40" t="s">
        <v>851</v>
      </c>
      <c r="D360" s="204"/>
      <c r="E360" s="204"/>
      <c r="F360" s="204"/>
      <c r="G360" s="204"/>
      <c r="H360" s="204"/>
      <c r="I360" s="204"/>
      <c r="J360" s="204"/>
      <c r="K360" s="204"/>
      <c r="L360" s="204"/>
      <c r="M360" s="204"/>
      <c r="O360" s="62" t="s">
        <v>3020</v>
      </c>
      <c r="P360" s="79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421" t="s">
        <v>1580</v>
      </c>
      <c r="B362" s="1433"/>
      <c r="C362" s="1433"/>
      <c r="D362" s="1433"/>
      <c r="E362" s="1433"/>
      <c r="F362" s="1433"/>
      <c r="G362" s="1433"/>
      <c r="H362" s="1433"/>
      <c r="I362" s="1433"/>
      <c r="J362" s="1433"/>
      <c r="K362" s="1433"/>
      <c r="L362" s="1433"/>
      <c r="M362" s="1433"/>
      <c r="N362" s="1433"/>
      <c r="O362" s="1433"/>
      <c r="P362" s="1433"/>
      <c r="Q362" s="1434"/>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1411"/>
      <c r="B364" s="1412"/>
      <c r="C364" s="1412"/>
      <c r="D364" s="1412"/>
      <c r="E364" s="1412"/>
      <c r="F364" s="1412"/>
      <c r="G364" s="1412"/>
      <c r="H364" s="1412"/>
      <c r="I364" s="1412"/>
      <c r="J364" s="1412"/>
      <c r="K364" s="1412"/>
      <c r="L364" s="1412"/>
      <c r="M364" s="1412"/>
      <c r="N364" s="1412"/>
      <c r="O364" s="1412"/>
      <c r="P364" s="1412"/>
      <c r="Q364" s="1413"/>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1082</v>
      </c>
      <c r="C366" s="5"/>
      <c r="D366" s="118"/>
      <c r="E366" s="740"/>
      <c r="F366" s="740"/>
      <c r="G366" s="740"/>
      <c r="H366" s="740"/>
      <c r="I366" s="740"/>
      <c r="J366" s="740"/>
      <c r="K366" s="740"/>
      <c r="L366" s="740"/>
      <c r="M366" s="740"/>
      <c r="O366" s="180" t="s">
        <v>2923</v>
      </c>
      <c r="P366" s="1388"/>
      <c r="Q366" s="1389"/>
    </row>
    <row r="367" spans="1:31" s="2" customFormat="1" ht="23.45" customHeight="1">
      <c r="B367" s="192" t="s">
        <v>3060</v>
      </c>
      <c r="C367" s="1424" t="s">
        <v>201</v>
      </c>
      <c r="D367" s="1424"/>
      <c r="E367" s="1424"/>
      <c r="F367" s="1424"/>
      <c r="G367" s="1424"/>
      <c r="H367" s="1424"/>
      <c r="I367" s="1424"/>
      <c r="J367" s="1424"/>
      <c r="K367" s="1424"/>
      <c r="L367" s="1424"/>
      <c r="M367" s="221" t="s">
        <v>3060</v>
      </c>
      <c r="N367" s="1490" t="s">
        <v>4056</v>
      </c>
      <c r="O367" s="1491"/>
      <c r="P367" s="1488" t="s">
        <v>2800</v>
      </c>
      <c r="Q367" s="1489"/>
    </row>
    <row r="368" spans="1:31" s="2" customFormat="1" ht="12" customHeight="1">
      <c r="B368" s="57" t="s">
        <v>3063</v>
      </c>
      <c r="C368" s="157" t="s">
        <v>2</v>
      </c>
      <c r="D368" s="204"/>
      <c r="E368" s="204"/>
      <c r="G368" s="62" t="s">
        <v>3063</v>
      </c>
      <c r="H368" s="1439" t="s">
        <v>4061</v>
      </c>
      <c r="I368" s="1440"/>
      <c r="J368" s="1440"/>
      <c r="K368" s="1440"/>
      <c r="L368" s="1440"/>
      <c r="M368" s="1440"/>
      <c r="N368" s="1440"/>
      <c r="O368" s="1441"/>
      <c r="P368" s="796"/>
      <c r="Q368" s="234"/>
    </row>
    <row r="369" spans="1:31" s="2" customFormat="1" ht="12" customHeight="1">
      <c r="B369" s="57" t="s">
        <v>1238</v>
      </c>
      <c r="C369" s="40" t="s">
        <v>2125</v>
      </c>
      <c r="D369" s="12"/>
      <c r="E369" s="12"/>
      <c r="F369" s="12"/>
      <c r="G369" s="8"/>
      <c r="H369" s="8"/>
      <c r="I369" s="40"/>
      <c r="K369" s="8"/>
      <c r="L369" s="8"/>
      <c r="M369" s="8"/>
      <c r="O369" s="62" t="s">
        <v>1238</v>
      </c>
      <c r="P369" s="796" t="s">
        <v>3926</v>
      </c>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390" t="s">
        <v>4057</v>
      </c>
      <c r="B371" s="1391"/>
      <c r="C371" s="1391"/>
      <c r="D371" s="1391"/>
      <c r="E371" s="1391"/>
      <c r="F371" s="1391"/>
      <c r="G371" s="1391"/>
      <c r="H371" s="1391"/>
      <c r="I371" s="1391"/>
      <c r="J371" s="1391"/>
      <c r="K371" s="1391"/>
      <c r="L371" s="1391"/>
      <c r="M371" s="1391"/>
      <c r="N371" s="1391"/>
      <c r="O371" s="1391"/>
      <c r="P371" s="1391"/>
      <c r="Q371" s="1392"/>
      <c r="R371" s="1466" t="s">
        <v>1932</v>
      </c>
      <c r="S371" s="1466"/>
      <c r="U371" s="185"/>
      <c r="V371" s="185"/>
      <c r="W371" s="185"/>
      <c r="X371" s="185"/>
      <c r="Y371" s="185"/>
      <c r="Z371" s="185"/>
      <c r="AA371" s="185"/>
      <c r="AB371" s="185"/>
      <c r="AC371" s="185"/>
      <c r="AD371" s="185"/>
      <c r="AE371" s="186"/>
    </row>
    <row r="372" spans="1:31" ht="11.45" customHeight="1">
      <c r="A372" s="1393"/>
      <c r="B372" s="1394"/>
      <c r="C372" s="1394"/>
      <c r="D372" s="1394"/>
      <c r="E372" s="1394"/>
      <c r="F372" s="1394"/>
      <c r="G372" s="1394"/>
      <c r="H372" s="1394"/>
      <c r="I372" s="1394"/>
      <c r="J372" s="1394"/>
      <c r="K372" s="1394"/>
      <c r="L372" s="1394"/>
      <c r="M372" s="1394"/>
      <c r="N372" s="1394"/>
      <c r="O372" s="1394"/>
      <c r="P372" s="1394"/>
      <c r="Q372" s="1395"/>
      <c r="R372" s="1466"/>
      <c r="S372" s="1466"/>
    </row>
    <row r="373" spans="1:31" s="31" customFormat="1" ht="3" customHeight="1">
      <c r="C373" s="134"/>
      <c r="D373" s="134"/>
      <c r="R373" s="1466"/>
      <c r="S373" s="1466"/>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1396"/>
      <c r="B375" s="1397"/>
      <c r="C375" s="1397"/>
      <c r="D375" s="1397"/>
      <c r="E375" s="1397"/>
      <c r="F375" s="1397"/>
      <c r="G375" s="1397"/>
      <c r="H375" s="1397"/>
      <c r="I375" s="1397"/>
      <c r="J375" s="1397"/>
      <c r="K375" s="1397"/>
      <c r="L375" s="1397"/>
      <c r="M375" s="1397"/>
      <c r="N375" s="1397"/>
      <c r="O375" s="1397"/>
      <c r="P375" s="1397"/>
      <c r="Q375" s="1398"/>
    </row>
    <row r="376" spans="1:31" ht="11.45" customHeight="1">
      <c r="A376" s="1408"/>
      <c r="B376" s="1409"/>
      <c r="C376" s="1409"/>
      <c r="D376" s="1409"/>
      <c r="E376" s="1409"/>
      <c r="F376" s="1409"/>
      <c r="G376" s="1409"/>
      <c r="H376" s="1409"/>
      <c r="I376" s="1409"/>
      <c r="J376" s="1409"/>
      <c r="K376" s="1409"/>
      <c r="L376" s="1409"/>
      <c r="M376" s="1409"/>
      <c r="N376" s="1409"/>
      <c r="O376" s="1409"/>
      <c r="P376" s="1409"/>
      <c r="Q376" s="1410"/>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2529</v>
      </c>
      <c r="C378" s="5"/>
      <c r="D378" s="5"/>
      <c r="E378" s="740"/>
      <c r="F378" s="190" t="s">
        <v>1057</v>
      </c>
      <c r="G378" s="740"/>
      <c r="H378" s="740"/>
      <c r="I378" s="740"/>
      <c r="J378" s="740"/>
      <c r="K378" s="740"/>
      <c r="L378" s="740"/>
      <c r="M378" s="740"/>
      <c r="O378" s="180" t="s">
        <v>2923</v>
      </c>
      <c r="P378" s="1388"/>
      <c r="Q378" s="1485"/>
    </row>
    <row r="379" spans="1:31" ht="12" customHeight="1">
      <c r="A379" s="194"/>
      <c r="B379" s="57" t="s">
        <v>3060</v>
      </c>
      <c r="C379" s="65" t="s">
        <v>2126</v>
      </c>
      <c r="D379" s="743"/>
      <c r="E379" s="743"/>
      <c r="H379" s="190"/>
      <c r="O379" s="62" t="s">
        <v>3060</v>
      </c>
      <c r="P379" s="796"/>
      <c r="Q379" s="234"/>
    </row>
    <row r="380" spans="1:31" ht="12" customHeight="1">
      <c r="A380" s="194"/>
      <c r="B380" s="57" t="s">
        <v>3063</v>
      </c>
      <c r="C380" s="65" t="s">
        <v>1241</v>
      </c>
      <c r="D380" s="743"/>
      <c r="E380" s="743"/>
      <c r="O380" s="62" t="s">
        <v>3063</v>
      </c>
      <c r="P380" s="796" t="s">
        <v>3928</v>
      </c>
      <c r="Q380" s="234"/>
    </row>
    <row r="381" spans="1:31" ht="12" customHeight="1">
      <c r="A381" s="194"/>
      <c r="B381" s="57" t="s">
        <v>1238</v>
      </c>
      <c r="C381" s="65" t="s">
        <v>1242</v>
      </c>
      <c r="D381" s="743"/>
      <c r="E381" s="743"/>
      <c r="O381" s="62" t="s">
        <v>1238</v>
      </c>
      <c r="P381" s="796"/>
      <c r="Q381" s="234"/>
    </row>
    <row r="382" spans="1:31" ht="12" customHeight="1">
      <c r="A382" s="194"/>
      <c r="B382" s="57" t="s">
        <v>3212</v>
      </c>
      <c r="C382" s="65" t="s">
        <v>877</v>
      </c>
      <c r="E382" s="190"/>
      <c r="O382" s="62" t="s">
        <v>3212</v>
      </c>
      <c r="P382" s="796"/>
      <c r="Q382" s="234"/>
    </row>
    <row r="383" spans="1:31" ht="12" customHeight="1">
      <c r="B383" s="57" t="s">
        <v>2762</v>
      </c>
      <c r="C383" s="65" t="s">
        <v>3175</v>
      </c>
      <c r="E383" s="190"/>
      <c r="G383" s="62" t="s">
        <v>2762</v>
      </c>
      <c r="H383" s="1439"/>
      <c r="I383" s="1440"/>
      <c r="J383" s="1440"/>
      <c r="K383" s="1440"/>
      <c r="L383" s="1440"/>
      <c r="M383" s="1440"/>
      <c r="N383" s="1440"/>
      <c r="O383" s="1441"/>
      <c r="P383" s="79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421" t="s">
        <v>4058</v>
      </c>
      <c r="B385" s="1433"/>
      <c r="C385" s="1433"/>
      <c r="D385" s="1433"/>
      <c r="E385" s="1433"/>
      <c r="F385" s="1433"/>
      <c r="G385" s="1433"/>
      <c r="H385" s="1433"/>
      <c r="I385" s="1433"/>
      <c r="J385" s="1433"/>
      <c r="K385" s="1433"/>
      <c r="L385" s="1433"/>
      <c r="M385" s="1433"/>
      <c r="N385" s="1433"/>
      <c r="O385" s="1433"/>
      <c r="P385" s="1433"/>
      <c r="Q385" s="1434"/>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1411"/>
      <c r="B387" s="1412"/>
      <c r="C387" s="1412"/>
      <c r="D387" s="1412"/>
      <c r="E387" s="1412"/>
      <c r="F387" s="1412"/>
      <c r="G387" s="1412"/>
      <c r="H387" s="1412"/>
      <c r="I387" s="1412"/>
      <c r="J387" s="1412"/>
      <c r="K387" s="1412"/>
      <c r="L387" s="1412"/>
      <c r="M387" s="1412"/>
      <c r="N387" s="1412"/>
      <c r="O387" s="1412"/>
      <c r="P387" s="1412"/>
      <c r="Q387" s="1413"/>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437" t="s">
        <v>3756</v>
      </c>
      <c r="C389" s="1437"/>
      <c r="D389" s="1437"/>
      <c r="E389" s="1437"/>
      <c r="F389" s="1437"/>
      <c r="G389" s="1437"/>
      <c r="H389" s="740"/>
      <c r="I389" s="740"/>
      <c r="J389" s="740"/>
      <c r="K389" s="740"/>
      <c r="L389" s="740"/>
      <c r="M389" s="740"/>
      <c r="O389" s="180" t="s">
        <v>2923</v>
      </c>
      <c r="P389" s="1388"/>
      <c r="Q389" s="1485"/>
    </row>
    <row r="390" spans="1:31" ht="23.45" customHeight="1">
      <c r="A390" s="189"/>
      <c r="B390" s="192" t="s">
        <v>3060</v>
      </c>
      <c r="C390" s="1424" t="s">
        <v>907</v>
      </c>
      <c r="D390" s="1424"/>
      <c r="E390" s="1424"/>
      <c r="F390" s="1424"/>
      <c r="G390" s="1424"/>
      <c r="H390" s="1424"/>
      <c r="I390" s="1424"/>
      <c r="J390" s="1424"/>
      <c r="K390" s="1424"/>
      <c r="L390" s="1424"/>
      <c r="M390" s="1424"/>
      <c r="N390" s="1424"/>
      <c r="O390" s="221" t="s">
        <v>3060</v>
      </c>
      <c r="P390" s="796" t="s">
        <v>3984</v>
      </c>
      <c r="Q390" s="234"/>
    </row>
    <row r="391" spans="1:31" ht="12" customHeight="1">
      <c r="A391" s="189"/>
      <c r="B391" s="57" t="s">
        <v>3063</v>
      </c>
      <c r="C391" s="197" t="s">
        <v>852</v>
      </c>
      <c r="D391" s="740"/>
      <c r="E391" s="740"/>
      <c r="F391" s="740"/>
      <c r="G391" s="740"/>
      <c r="H391" s="740"/>
      <c r="I391" s="740"/>
      <c r="J391" s="740"/>
      <c r="K391" s="740"/>
      <c r="L391" s="740"/>
      <c r="M391" s="740"/>
      <c r="O391" s="62" t="s">
        <v>3063</v>
      </c>
      <c r="P391" s="796" t="s">
        <v>3928</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421"/>
      <c r="B393" s="1433"/>
      <c r="C393" s="1433"/>
      <c r="D393" s="1433"/>
      <c r="E393" s="1433"/>
      <c r="F393" s="1433"/>
      <c r="G393" s="1433"/>
      <c r="H393" s="1433"/>
      <c r="I393" s="1433"/>
      <c r="J393" s="1434"/>
      <c r="K393" s="1411"/>
      <c r="L393" s="1412"/>
      <c r="M393" s="1412"/>
      <c r="N393" s="1412"/>
      <c r="O393" s="1412"/>
      <c r="P393" s="1412"/>
      <c r="Q393" s="1413"/>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437" t="s">
        <v>2004</v>
      </c>
      <c r="C395" s="1437"/>
      <c r="D395" s="1437"/>
      <c r="E395" s="1437"/>
      <c r="F395" s="1437"/>
      <c r="G395" s="1437"/>
      <c r="H395" s="740"/>
      <c r="I395" s="740"/>
      <c r="J395" s="740"/>
      <c r="K395" s="740"/>
      <c r="L395" s="740"/>
      <c r="M395" s="740"/>
      <c r="O395" s="180" t="s">
        <v>2923</v>
      </c>
      <c r="P395" s="1388"/>
      <c r="Q395" s="1485"/>
    </row>
    <row r="396" spans="1:31" ht="12" customHeight="1">
      <c r="A396" s="52"/>
      <c r="B396" s="57" t="s">
        <v>3060</v>
      </c>
      <c r="C396" s="49" t="s">
        <v>1243</v>
      </c>
      <c r="D396" s="52"/>
      <c r="E396" s="52"/>
      <c r="F396" s="52"/>
      <c r="G396" s="52"/>
      <c r="H396" s="52"/>
      <c r="I396" s="52"/>
      <c r="J396" s="52"/>
      <c r="K396" s="52"/>
      <c r="L396" s="52"/>
      <c r="M396" s="52"/>
      <c r="N396" s="52"/>
      <c r="O396" s="62" t="s">
        <v>3060</v>
      </c>
      <c r="P396" s="796" t="s">
        <v>3926</v>
      </c>
      <c r="Q396" s="234"/>
    </row>
    <row r="397" spans="1:31" ht="12" customHeight="1">
      <c r="A397" s="52"/>
      <c r="B397" s="57" t="s">
        <v>3063</v>
      </c>
      <c r="C397" s="49" t="s">
        <v>3314</v>
      </c>
      <c r="D397" s="52"/>
      <c r="E397" s="52"/>
      <c r="F397" s="52"/>
      <c r="G397" s="52"/>
      <c r="H397" s="52"/>
      <c r="I397" s="52"/>
      <c r="J397" s="52"/>
      <c r="K397" s="52"/>
      <c r="L397" s="52"/>
      <c r="M397" s="52"/>
      <c r="N397" s="52"/>
      <c r="O397" s="62" t="s">
        <v>2170</v>
      </c>
      <c r="P397" s="79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2765</v>
      </c>
      <c r="P399" s="796"/>
      <c r="Q399" s="234"/>
    </row>
    <row r="400" spans="1:31" ht="12" customHeight="1">
      <c r="A400" s="52"/>
      <c r="B400" s="57" t="s">
        <v>1238</v>
      </c>
      <c r="C400" s="1353" t="s">
        <v>3313</v>
      </c>
      <c r="D400" s="1353"/>
      <c r="E400" s="1353"/>
      <c r="F400" s="1353"/>
      <c r="G400" s="1353"/>
      <c r="H400" s="1353"/>
      <c r="I400" s="1353"/>
      <c r="J400" s="1353"/>
      <c r="K400" s="1353"/>
      <c r="L400" s="1353"/>
      <c r="M400" s="1353"/>
      <c r="N400" s="1353"/>
      <c r="O400" s="62" t="s">
        <v>1238</v>
      </c>
      <c r="P400" s="79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2764</v>
      </c>
      <c r="P402" s="815"/>
      <c r="Q402" s="706" t="s">
        <v>311</v>
      </c>
    </row>
    <row r="403" spans="1:31" ht="12" customHeight="1">
      <c r="A403" s="52"/>
      <c r="B403" s="57"/>
      <c r="C403" s="183" t="s">
        <v>3317</v>
      </c>
      <c r="D403" s="52"/>
      <c r="E403" s="52"/>
      <c r="F403" s="40"/>
      <c r="G403" s="40"/>
      <c r="H403" s="52"/>
      <c r="K403" s="40"/>
      <c r="L403" s="40"/>
      <c r="M403" s="40"/>
      <c r="N403" s="52"/>
      <c r="O403" s="62" t="s">
        <v>2765</v>
      </c>
      <c r="P403" s="815"/>
      <c r="Q403" s="706"/>
    </row>
    <row r="404" spans="1:31" ht="12" customHeight="1">
      <c r="A404" s="52"/>
      <c r="B404" s="57"/>
      <c r="C404" s="183" t="s">
        <v>3318</v>
      </c>
      <c r="D404" s="52"/>
      <c r="E404" s="52"/>
      <c r="F404" s="40"/>
      <c r="G404" s="40"/>
      <c r="H404" s="52"/>
      <c r="K404" s="40"/>
      <c r="L404" s="40"/>
      <c r="M404" s="40"/>
      <c r="N404" s="52"/>
      <c r="O404" s="62" t="s">
        <v>2766</v>
      </c>
      <c r="P404" s="815"/>
      <c r="Q404" s="706" t="s">
        <v>311</v>
      </c>
    </row>
    <row r="405" spans="1:31" ht="12" customHeight="1">
      <c r="A405" s="52"/>
      <c r="B405" s="57"/>
      <c r="C405" s="183" t="s">
        <v>3319</v>
      </c>
      <c r="D405" s="52"/>
      <c r="E405" s="52"/>
      <c r="F405" s="40"/>
      <c r="G405" s="40"/>
      <c r="H405" s="52"/>
      <c r="K405" s="40"/>
      <c r="L405" s="40"/>
      <c r="M405" s="40"/>
      <c r="N405" s="52"/>
      <c r="O405" s="62" t="s">
        <v>3571</v>
      </c>
      <c r="P405" s="815"/>
      <c r="Q405" s="706" t="s">
        <v>311</v>
      </c>
    </row>
    <row r="406" spans="1:31" ht="12" customHeight="1">
      <c r="A406" s="52"/>
      <c r="B406" s="57"/>
      <c r="C406" s="183" t="s">
        <v>3320</v>
      </c>
      <c r="D406" s="52"/>
      <c r="E406" s="52"/>
      <c r="F406" s="40"/>
      <c r="G406" s="40"/>
      <c r="H406" s="52"/>
      <c r="K406" s="40"/>
      <c r="L406" s="40"/>
      <c r="M406" s="40"/>
      <c r="N406" s="52"/>
      <c r="O406" s="62" t="s">
        <v>2303</v>
      </c>
      <c r="P406" s="815"/>
      <c r="Q406" s="706" t="s">
        <v>311</v>
      </c>
    </row>
    <row r="407" spans="1:31" ht="12" customHeight="1">
      <c r="A407" s="52"/>
      <c r="B407" s="57" t="s">
        <v>2762</v>
      </c>
      <c r="C407" s="40" t="s">
        <v>3614</v>
      </c>
      <c r="D407" s="40"/>
      <c r="E407" s="40"/>
      <c r="F407" s="40"/>
      <c r="G407" s="40"/>
      <c r="J407" s="52"/>
      <c r="K407" s="40"/>
      <c r="L407" s="40"/>
      <c r="M407" s="40"/>
      <c r="N407" s="52"/>
      <c r="O407" s="62" t="s">
        <v>2762</v>
      </c>
      <c r="P407" s="62"/>
      <c r="Q407" s="62"/>
    </row>
    <row r="408" spans="1:31" ht="12" customHeight="1">
      <c r="A408" s="52"/>
      <c r="B408" s="57"/>
      <c r="C408" s="816" t="s">
        <v>3321</v>
      </c>
      <c r="D408" s="40"/>
      <c r="E408" s="40"/>
      <c r="F408" s="40"/>
      <c r="G408" s="40"/>
      <c r="J408" s="52"/>
      <c r="K408" s="40"/>
      <c r="L408" s="40"/>
      <c r="M408" s="40"/>
      <c r="N408" s="52"/>
      <c r="O408" s="62" t="s">
        <v>2764</v>
      </c>
      <c r="P408" s="796"/>
      <c r="Q408" s="234"/>
    </row>
    <row r="409" spans="1:31" ht="12" customHeight="1">
      <c r="A409" s="52"/>
      <c r="B409" s="57"/>
      <c r="C409" s="816" t="s">
        <v>1826</v>
      </c>
      <c r="D409" s="40"/>
      <c r="E409" s="40"/>
      <c r="F409" s="40"/>
      <c r="G409" s="40"/>
      <c r="N409" s="52"/>
      <c r="O409" s="62" t="s">
        <v>2765</v>
      </c>
      <c r="P409" s="796"/>
      <c r="Q409" s="234"/>
    </row>
    <row r="410" spans="1:31" ht="12" customHeight="1">
      <c r="A410" s="52"/>
      <c r="C410" s="816" t="s">
        <v>1827</v>
      </c>
      <c r="D410" s="65"/>
      <c r="E410" s="65"/>
      <c r="F410" s="65"/>
      <c r="G410" s="65"/>
      <c r="J410" s="52"/>
      <c r="K410" s="65"/>
      <c r="L410" s="65"/>
      <c r="M410" s="65"/>
      <c r="N410" s="52"/>
      <c r="O410" s="62" t="s">
        <v>2766</v>
      </c>
      <c r="P410" s="796"/>
      <c r="Q410" s="234"/>
    </row>
    <row r="411" spans="1:31" ht="12" customHeight="1">
      <c r="A411" s="52"/>
      <c r="B411" s="57"/>
      <c r="C411" s="816" t="s">
        <v>3384</v>
      </c>
      <c r="D411" s="65"/>
      <c r="E411" s="65"/>
      <c r="F411" s="65"/>
      <c r="G411" s="62" t="s">
        <v>3571</v>
      </c>
      <c r="H411" s="1486"/>
      <c r="I411" s="1487"/>
      <c r="J411" s="1487"/>
      <c r="K411" s="1487"/>
      <c r="L411" s="1487"/>
      <c r="M411" s="1487"/>
      <c r="N411" s="1487"/>
      <c r="O411" s="1404"/>
      <c r="P411" s="79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12" customHeight="1">
      <c r="A413" s="1390"/>
      <c r="B413" s="1391"/>
      <c r="C413" s="1391"/>
      <c r="D413" s="1391"/>
      <c r="E413" s="1391"/>
      <c r="F413" s="1391"/>
      <c r="G413" s="1391"/>
      <c r="H413" s="1391"/>
      <c r="I413" s="1391"/>
      <c r="J413" s="1391"/>
      <c r="K413" s="1391"/>
      <c r="L413" s="1391"/>
      <c r="M413" s="1391"/>
      <c r="N413" s="1391"/>
      <c r="O413" s="1391"/>
      <c r="P413" s="1391"/>
      <c r="Q413" s="1392"/>
      <c r="U413" s="185"/>
      <c r="V413" s="185"/>
      <c r="W413" s="185"/>
      <c r="X413" s="185"/>
      <c r="Y413" s="185"/>
      <c r="Z413" s="185"/>
      <c r="AA413" s="185"/>
      <c r="AB413" s="185"/>
      <c r="AC413" s="185"/>
      <c r="AD413" s="185"/>
      <c r="AE413" s="186"/>
    </row>
    <row r="414" spans="1:31" ht="12" customHeight="1">
      <c r="A414" s="1393"/>
      <c r="B414" s="1394"/>
      <c r="C414" s="1394"/>
      <c r="D414" s="1394"/>
      <c r="E414" s="1394"/>
      <c r="F414" s="1394"/>
      <c r="G414" s="1394"/>
      <c r="H414" s="1394"/>
      <c r="I414" s="1394"/>
      <c r="J414" s="1394"/>
      <c r="K414" s="1394"/>
      <c r="L414" s="1394"/>
      <c r="M414" s="1394"/>
      <c r="N414" s="1394"/>
      <c r="O414" s="1394"/>
      <c r="P414" s="1394"/>
      <c r="Q414" s="1395"/>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1396"/>
      <c r="B416" s="1397"/>
      <c r="C416" s="1397"/>
      <c r="D416" s="1397"/>
      <c r="E416" s="1397"/>
      <c r="F416" s="1397"/>
      <c r="G416" s="1397"/>
      <c r="H416" s="1397"/>
      <c r="I416" s="1397"/>
      <c r="J416" s="1397"/>
      <c r="K416" s="1397"/>
      <c r="L416" s="1397"/>
      <c r="M416" s="1397"/>
      <c r="N416" s="1397"/>
      <c r="O416" s="1397"/>
      <c r="P416" s="1397"/>
      <c r="Q416" s="1398"/>
    </row>
    <row r="417" spans="1:31" ht="12" customHeight="1">
      <c r="A417" s="1442"/>
      <c r="B417" s="1443"/>
      <c r="C417" s="1443"/>
      <c r="D417" s="1443"/>
      <c r="E417" s="1443"/>
      <c r="F417" s="1443"/>
      <c r="G417" s="1443"/>
      <c r="H417" s="1443"/>
      <c r="I417" s="1443"/>
      <c r="J417" s="1443"/>
      <c r="K417" s="1443"/>
      <c r="L417" s="1443"/>
      <c r="M417" s="1443"/>
      <c r="N417" s="1443"/>
      <c r="O417" s="1443"/>
      <c r="P417" s="1443"/>
      <c r="Q417" s="1444"/>
    </row>
    <row r="418" spans="1:31" ht="12" customHeight="1">
      <c r="A418" s="1408"/>
      <c r="B418" s="1409"/>
      <c r="C418" s="1409"/>
      <c r="D418" s="1409"/>
      <c r="E418" s="1409"/>
      <c r="F418" s="1409"/>
      <c r="G418" s="1409"/>
      <c r="H418" s="1409"/>
      <c r="I418" s="1409"/>
      <c r="J418" s="1409"/>
      <c r="K418" s="1409"/>
      <c r="L418" s="1409"/>
      <c r="M418" s="1409"/>
      <c r="N418" s="1409"/>
      <c r="O418" s="1409"/>
      <c r="P418" s="1409"/>
      <c r="Q418" s="1410"/>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3123</v>
      </c>
      <c r="C420" s="5"/>
      <c r="D420" s="118"/>
      <c r="E420" s="740"/>
      <c r="F420" s="740"/>
      <c r="G420" s="740"/>
      <c r="H420" s="740"/>
      <c r="O420" s="180" t="s">
        <v>2923</v>
      </c>
      <c r="P420" s="1388"/>
      <c r="Q420" s="1389"/>
    </row>
    <row r="421" spans="1:31" ht="13.15" customHeight="1">
      <c r="B421" s="57" t="s">
        <v>3060</v>
      </c>
      <c r="C421" s="49" t="s">
        <v>887</v>
      </c>
      <c r="D421" s="52"/>
      <c r="E421" s="52"/>
      <c r="F421" s="52"/>
      <c r="G421" s="52"/>
      <c r="H421" s="52"/>
      <c r="I421" s="52"/>
      <c r="J421" s="52"/>
      <c r="K421" s="52"/>
      <c r="L421" s="52"/>
      <c r="M421" s="52"/>
      <c r="O421" s="62" t="s">
        <v>3060</v>
      </c>
      <c r="P421" s="796" t="s">
        <v>3984</v>
      </c>
      <c r="Q421" s="234"/>
    </row>
    <row r="422" spans="1:31" ht="13.15" customHeight="1">
      <c r="B422" s="57" t="s">
        <v>3063</v>
      </c>
      <c r="C422" s="49" t="s">
        <v>888</v>
      </c>
      <c r="D422" s="52"/>
      <c r="E422" s="52"/>
      <c r="F422" s="52"/>
      <c r="G422" s="52"/>
      <c r="H422" s="52"/>
      <c r="I422" s="52"/>
      <c r="J422" s="52"/>
      <c r="K422" s="52"/>
      <c r="L422" s="52"/>
      <c r="M422" s="52"/>
      <c r="O422" s="62" t="s">
        <v>3063</v>
      </c>
      <c r="P422" s="796" t="s">
        <v>3984</v>
      </c>
      <c r="Q422" s="234"/>
    </row>
    <row r="423" spans="1:31" ht="24" customHeight="1">
      <c r="B423" s="192" t="s">
        <v>1238</v>
      </c>
      <c r="C423" s="1448" t="s">
        <v>889</v>
      </c>
      <c r="D423" s="1448"/>
      <c r="E423" s="1448"/>
      <c r="F423" s="1448"/>
      <c r="G423" s="1448"/>
      <c r="H423" s="1448"/>
      <c r="I423" s="1448"/>
      <c r="J423" s="1448"/>
      <c r="K423" s="1448"/>
      <c r="L423" s="1448"/>
      <c r="M423" s="1448"/>
      <c r="N423" s="1448"/>
      <c r="O423" s="221" t="s">
        <v>1238</v>
      </c>
      <c r="P423" s="812" t="s">
        <v>3984</v>
      </c>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390"/>
      <c r="B425" s="1391"/>
      <c r="C425" s="1391"/>
      <c r="D425" s="1391"/>
      <c r="E425" s="1391"/>
      <c r="F425" s="1391"/>
      <c r="G425" s="1391"/>
      <c r="H425" s="1391"/>
      <c r="I425" s="1391"/>
      <c r="J425" s="1391"/>
      <c r="K425" s="1391"/>
      <c r="L425" s="1391"/>
      <c r="M425" s="1391"/>
      <c r="N425" s="1391"/>
      <c r="O425" s="1391"/>
      <c r="P425" s="1391"/>
      <c r="Q425" s="1392"/>
      <c r="R425" s="1466" t="s">
        <v>1932</v>
      </c>
      <c r="S425" s="1466"/>
      <c r="U425" s="185"/>
      <c r="V425" s="185"/>
      <c r="W425" s="185"/>
      <c r="X425" s="185"/>
      <c r="Y425" s="185"/>
      <c r="Z425" s="185"/>
      <c r="AA425" s="185"/>
      <c r="AB425" s="185"/>
      <c r="AC425" s="185"/>
      <c r="AD425" s="185"/>
      <c r="AE425" s="186"/>
    </row>
    <row r="426" spans="1:31" ht="11.45" customHeight="1">
      <c r="A426" s="1425"/>
      <c r="B426" s="1426"/>
      <c r="C426" s="1426"/>
      <c r="D426" s="1426"/>
      <c r="E426" s="1426"/>
      <c r="F426" s="1426"/>
      <c r="G426" s="1426"/>
      <c r="H426" s="1426"/>
      <c r="I426" s="1426"/>
      <c r="J426" s="1426"/>
      <c r="K426" s="1426"/>
      <c r="L426" s="1426"/>
      <c r="M426" s="1426"/>
      <c r="N426" s="1426"/>
      <c r="O426" s="1426"/>
      <c r="P426" s="1426"/>
      <c r="Q426" s="1427"/>
      <c r="R426" s="1466"/>
      <c r="S426" s="1466"/>
    </row>
    <row r="427" spans="1:31" ht="11.45" customHeight="1">
      <c r="A427" s="1393"/>
      <c r="B427" s="1394"/>
      <c r="C427" s="1394"/>
      <c r="D427" s="1394"/>
      <c r="E427" s="1394"/>
      <c r="F427" s="1394"/>
      <c r="G427" s="1394"/>
      <c r="H427" s="1394"/>
      <c r="I427" s="1394"/>
      <c r="J427" s="1394"/>
      <c r="K427" s="1394"/>
      <c r="L427" s="1394"/>
      <c r="M427" s="1394"/>
      <c r="N427" s="1394"/>
      <c r="O427" s="1394"/>
      <c r="P427" s="1394"/>
      <c r="Q427" s="1395"/>
      <c r="R427" s="1466"/>
      <c r="S427" s="1466"/>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1396"/>
      <c r="B429" s="1397"/>
      <c r="C429" s="1397"/>
      <c r="D429" s="1397"/>
      <c r="E429" s="1397"/>
      <c r="F429" s="1397"/>
      <c r="G429" s="1397"/>
      <c r="H429" s="1397"/>
      <c r="I429" s="1397"/>
      <c r="J429" s="1397"/>
      <c r="K429" s="1397"/>
      <c r="L429" s="1397"/>
      <c r="M429" s="1397"/>
      <c r="N429" s="1397"/>
      <c r="O429" s="1397"/>
      <c r="P429" s="1397"/>
      <c r="Q429" s="1398"/>
    </row>
    <row r="430" spans="1:31" ht="11.45" customHeight="1">
      <c r="A430" s="1442"/>
      <c r="B430" s="1443"/>
      <c r="C430" s="1443"/>
      <c r="D430" s="1443"/>
      <c r="E430" s="1443"/>
      <c r="F430" s="1443"/>
      <c r="G430" s="1443"/>
      <c r="H430" s="1443"/>
      <c r="I430" s="1443"/>
      <c r="J430" s="1443"/>
      <c r="K430" s="1443"/>
      <c r="L430" s="1443"/>
      <c r="M430" s="1443"/>
      <c r="N430" s="1443"/>
      <c r="O430" s="1443"/>
      <c r="P430" s="1443"/>
      <c r="Q430" s="1444"/>
    </row>
    <row r="431" spans="1:31" ht="11.45" customHeight="1">
      <c r="A431" s="1408"/>
      <c r="B431" s="1409"/>
      <c r="C431" s="1409"/>
      <c r="D431" s="1409"/>
      <c r="E431" s="1409"/>
      <c r="F431" s="1409"/>
      <c r="G431" s="1409"/>
      <c r="H431" s="1409"/>
      <c r="I431" s="1409"/>
      <c r="J431" s="1409"/>
      <c r="K431" s="1409"/>
      <c r="L431" s="1409"/>
      <c r="M431" s="1409"/>
      <c r="N431" s="1409"/>
      <c r="O431" s="1409"/>
      <c r="P431" s="1409"/>
      <c r="Q431" s="1410"/>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1354</v>
      </c>
      <c r="C433" s="5"/>
      <c r="D433" s="118"/>
      <c r="E433" s="740"/>
      <c r="F433" s="740"/>
      <c r="G433" s="740"/>
      <c r="H433" s="740"/>
      <c r="I433" s="740"/>
      <c r="J433" s="740"/>
      <c r="K433" s="740"/>
      <c r="L433" s="740"/>
      <c r="M433" s="740"/>
      <c r="O433" s="180" t="s">
        <v>2923</v>
      </c>
      <c r="P433" s="1388"/>
      <c r="Q433" s="1389"/>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11.45" customHeight="1">
      <c r="A435" s="1390" t="s">
        <v>4060</v>
      </c>
      <c r="B435" s="1391"/>
      <c r="C435" s="1391"/>
      <c r="D435" s="1391"/>
      <c r="E435" s="1391"/>
      <c r="F435" s="1391"/>
      <c r="G435" s="1391"/>
      <c r="H435" s="1391"/>
      <c r="I435" s="1391"/>
      <c r="J435" s="1391"/>
      <c r="K435" s="1391"/>
      <c r="L435" s="1391"/>
      <c r="M435" s="1391"/>
      <c r="N435" s="1391"/>
      <c r="O435" s="1391"/>
      <c r="P435" s="1391"/>
      <c r="Q435" s="1392"/>
      <c r="R435" s="1466" t="s">
        <v>1932</v>
      </c>
      <c r="S435" s="1466"/>
      <c r="U435" s="185"/>
      <c r="V435" s="185"/>
      <c r="W435" s="185"/>
      <c r="X435" s="185"/>
      <c r="Y435" s="185"/>
      <c r="Z435" s="185"/>
      <c r="AA435" s="185"/>
      <c r="AB435" s="185"/>
      <c r="AC435" s="185"/>
      <c r="AD435" s="185"/>
      <c r="AE435" s="186"/>
    </row>
    <row r="436" spans="1:31" ht="11.45" customHeight="1">
      <c r="A436" s="1393" t="s">
        <v>4059</v>
      </c>
      <c r="B436" s="1394"/>
      <c r="C436" s="1394"/>
      <c r="D436" s="1394"/>
      <c r="E436" s="1394"/>
      <c r="F436" s="1394"/>
      <c r="G436" s="1394"/>
      <c r="H436" s="1394"/>
      <c r="I436" s="1394"/>
      <c r="J436" s="1394"/>
      <c r="K436" s="1394"/>
      <c r="L436" s="1394"/>
      <c r="M436" s="1394"/>
      <c r="N436" s="1394"/>
      <c r="O436" s="1394"/>
      <c r="P436" s="1394"/>
      <c r="Q436" s="1395"/>
      <c r="R436" s="1466"/>
      <c r="S436" s="1466"/>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1396"/>
      <c r="B438" s="1397"/>
      <c r="C438" s="1397"/>
      <c r="D438" s="1397"/>
      <c r="E438" s="1397"/>
      <c r="F438" s="1397"/>
      <c r="G438" s="1397"/>
      <c r="H438" s="1397"/>
      <c r="I438" s="1397"/>
      <c r="J438" s="1397"/>
      <c r="K438" s="1397"/>
      <c r="L438" s="1397"/>
      <c r="M438" s="1397"/>
      <c r="N438" s="1397"/>
      <c r="O438" s="1397"/>
      <c r="P438" s="1397"/>
      <c r="Q438" s="1398"/>
    </row>
    <row r="439" spans="1:31" ht="37.15" customHeight="1">
      <c r="A439" s="1442"/>
      <c r="B439" s="1443"/>
      <c r="C439" s="1443"/>
      <c r="D439" s="1443"/>
      <c r="E439" s="1443"/>
      <c r="F439" s="1443"/>
      <c r="G439" s="1443"/>
      <c r="H439" s="1443"/>
      <c r="I439" s="1443"/>
      <c r="J439" s="1443"/>
      <c r="K439" s="1443"/>
      <c r="L439" s="1443"/>
      <c r="M439" s="1443"/>
      <c r="N439" s="1443"/>
      <c r="O439" s="1443"/>
      <c r="P439" s="1443"/>
      <c r="Q439" s="1444"/>
    </row>
    <row r="440" spans="1:31" ht="37.15" customHeight="1">
      <c r="A440" s="1442"/>
      <c r="B440" s="1443"/>
      <c r="C440" s="1443"/>
      <c r="D440" s="1443"/>
      <c r="E440" s="1443"/>
      <c r="F440" s="1443"/>
      <c r="G440" s="1443"/>
      <c r="H440" s="1443"/>
      <c r="I440" s="1443"/>
      <c r="J440" s="1443"/>
      <c r="K440" s="1443"/>
      <c r="L440" s="1443"/>
      <c r="M440" s="1443"/>
      <c r="N440" s="1443"/>
      <c r="O440" s="1443"/>
      <c r="P440" s="1443"/>
      <c r="Q440" s="1444"/>
    </row>
    <row r="441" spans="1:31" ht="37.15" customHeight="1">
      <c r="A441" s="1408"/>
      <c r="B441" s="1409"/>
      <c r="C441" s="1409"/>
      <c r="D441" s="1409"/>
      <c r="E441" s="1409"/>
      <c r="F441" s="1409"/>
      <c r="G441" s="1409"/>
      <c r="H441" s="1409"/>
      <c r="I441" s="1409"/>
      <c r="J441" s="1409"/>
      <c r="K441" s="1409"/>
      <c r="L441" s="1409"/>
      <c r="M441" s="1409"/>
      <c r="N441" s="1409"/>
      <c r="O441" s="1409"/>
      <c r="P441" s="1409"/>
      <c r="Q441" s="1410"/>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817"/>
      <c r="B445" s="817" t="s">
        <v>1238</v>
      </c>
      <c r="C445" s="817" t="s">
        <v>795</v>
      </c>
      <c r="D445" s="817"/>
      <c r="E445" s="817"/>
      <c r="F445" s="817"/>
      <c r="G445" s="817"/>
      <c r="H445" s="817"/>
      <c r="I445" s="817"/>
      <c r="J445" s="817"/>
      <c r="K445" s="817"/>
      <c r="L445" s="817"/>
      <c r="M445" s="817"/>
      <c r="N445" s="817"/>
      <c r="O445" s="817" t="s">
        <v>1238</v>
      </c>
      <c r="P445" s="817"/>
      <c r="Q445" s="817"/>
    </row>
    <row r="446" spans="1:31" ht="12" customHeight="1">
      <c r="A446" s="817"/>
      <c r="B446" s="817"/>
      <c r="C446" s="817" t="s">
        <v>2764</v>
      </c>
      <c r="D446" s="817" t="s">
        <v>883</v>
      </c>
      <c r="E446" s="817"/>
      <c r="F446" s="817"/>
      <c r="G446" s="817"/>
      <c r="H446" s="817"/>
      <c r="I446" s="817"/>
      <c r="J446" s="817"/>
      <c r="K446" s="817"/>
      <c r="L446" s="817"/>
      <c r="M446" s="817"/>
      <c r="N446" s="817"/>
      <c r="O446" s="817" t="s">
        <v>2764</v>
      </c>
      <c r="P446" s="817"/>
      <c r="Q446" s="817"/>
    </row>
    <row r="447" spans="1:31" ht="12" customHeight="1">
      <c r="A447" s="817"/>
      <c r="B447" s="817"/>
      <c r="C447" s="817" t="s">
        <v>2765</v>
      </c>
      <c r="D447" s="817" t="s">
        <v>0</v>
      </c>
      <c r="E447" s="817"/>
      <c r="F447" s="817"/>
      <c r="G447" s="817"/>
      <c r="H447" s="817"/>
      <c r="I447" s="817"/>
      <c r="J447" s="817"/>
      <c r="K447" s="817"/>
      <c r="L447" s="817"/>
      <c r="M447" s="817"/>
      <c r="N447" s="817"/>
      <c r="O447" s="817" t="s">
        <v>2765</v>
      </c>
      <c r="P447" s="817"/>
      <c r="Q447" s="817"/>
    </row>
    <row r="448" spans="1:31" ht="12" customHeight="1">
      <c r="A448" s="817"/>
      <c r="B448" s="817"/>
      <c r="C448" s="817" t="s">
        <v>2766</v>
      </c>
      <c r="D448" s="817" t="s">
        <v>796</v>
      </c>
      <c r="E448" s="817"/>
      <c r="F448" s="817"/>
      <c r="G448" s="817"/>
      <c r="H448" s="817"/>
      <c r="I448" s="817"/>
      <c r="J448" s="817"/>
      <c r="K448" s="817"/>
      <c r="L448" s="817"/>
      <c r="M448" s="817"/>
      <c r="N448" s="817"/>
      <c r="O448" s="817" t="s">
        <v>2766</v>
      </c>
      <c r="P448" s="817"/>
      <c r="Q448" s="817"/>
    </row>
    <row r="449" spans="1:19" ht="12" customHeight="1">
      <c r="A449" s="817"/>
      <c r="B449" s="817"/>
      <c r="C449" s="817" t="s">
        <v>3571</v>
      </c>
      <c r="D449" s="817" t="s">
        <v>797</v>
      </c>
      <c r="E449" s="817"/>
      <c r="F449" s="817"/>
      <c r="G449" s="817"/>
      <c r="H449" s="817"/>
      <c r="I449" s="817"/>
      <c r="J449" s="817"/>
      <c r="K449" s="817"/>
      <c r="L449" s="817"/>
      <c r="M449" s="817"/>
      <c r="N449" s="817"/>
      <c r="O449" s="817" t="s">
        <v>3571</v>
      </c>
      <c r="P449" s="817"/>
      <c r="Q449" s="817"/>
    </row>
    <row r="450" spans="1:19" ht="12" customHeight="1">
      <c r="A450" s="817"/>
      <c r="B450" s="817"/>
      <c r="C450" s="817" t="s">
        <v>2303</v>
      </c>
      <c r="D450" s="817" t="s">
        <v>798</v>
      </c>
      <c r="E450" s="817"/>
      <c r="F450" s="817"/>
      <c r="G450" s="817"/>
      <c r="H450" s="817"/>
      <c r="I450" s="817"/>
      <c r="J450" s="817"/>
      <c r="K450" s="817"/>
      <c r="L450" s="817"/>
      <c r="M450" s="817"/>
      <c r="N450" s="817"/>
      <c r="O450" s="817" t="s">
        <v>2303</v>
      </c>
      <c r="P450" s="817"/>
      <c r="Q450" s="817"/>
    </row>
    <row r="451" spans="1:19" ht="12" customHeight="1">
      <c r="A451" s="817"/>
      <c r="B451" s="817"/>
      <c r="C451" s="817" t="s">
        <v>2304</v>
      </c>
      <c r="D451" s="817" t="s">
        <v>2356</v>
      </c>
      <c r="E451" s="817"/>
      <c r="F451" s="817"/>
      <c r="G451" s="817"/>
      <c r="H451" s="817"/>
      <c r="I451" s="817"/>
      <c r="J451" s="817"/>
      <c r="K451" s="817"/>
      <c r="L451" s="817"/>
      <c r="M451" s="817"/>
      <c r="N451" s="817"/>
      <c r="O451" s="817" t="s">
        <v>2304</v>
      </c>
      <c r="P451" s="817"/>
      <c r="Q451" s="817"/>
    </row>
    <row r="452" spans="1:19" ht="12" customHeight="1">
      <c r="A452" s="817"/>
      <c r="B452" s="817"/>
      <c r="C452" s="817" t="s">
        <v>112</v>
      </c>
      <c r="D452" s="817" t="s">
        <v>799</v>
      </c>
      <c r="E452" s="817"/>
      <c r="F452" s="817"/>
      <c r="G452" s="817"/>
      <c r="H452" s="817"/>
      <c r="I452" s="817"/>
      <c r="J452" s="817"/>
      <c r="K452" s="817"/>
      <c r="L452" s="817"/>
      <c r="M452" s="817"/>
      <c r="N452" s="817"/>
      <c r="O452" s="817" t="s">
        <v>112</v>
      </c>
      <c r="P452" s="817"/>
      <c r="Q452" s="817"/>
    </row>
    <row r="453" spans="1:19" ht="12" customHeight="1">
      <c r="A453" s="817"/>
      <c r="B453" s="817"/>
      <c r="C453" s="817" t="s">
        <v>789</v>
      </c>
      <c r="D453" s="817" t="s">
        <v>800</v>
      </c>
      <c r="E453" s="817"/>
      <c r="F453" s="817"/>
      <c r="G453" s="817"/>
      <c r="H453" s="817"/>
      <c r="I453" s="817"/>
      <c r="J453" s="817"/>
      <c r="K453" s="817"/>
      <c r="L453" s="817"/>
      <c r="M453" s="817"/>
      <c r="N453" s="817"/>
      <c r="O453" s="817" t="s">
        <v>789</v>
      </c>
      <c r="P453" s="817"/>
      <c r="Q453" s="817"/>
    </row>
    <row r="454" spans="1:19" ht="12" customHeight="1">
      <c r="A454" s="817"/>
      <c r="B454" s="817"/>
      <c r="C454" s="817" t="s">
        <v>790</v>
      </c>
      <c r="D454" s="817" t="s">
        <v>2648</v>
      </c>
      <c r="E454" s="817"/>
      <c r="F454" s="817"/>
      <c r="G454" s="817"/>
      <c r="H454" s="817"/>
      <c r="I454" s="817"/>
      <c r="J454" s="817"/>
      <c r="K454" s="817"/>
      <c r="L454" s="817"/>
      <c r="M454" s="817"/>
      <c r="N454" s="817"/>
      <c r="O454" s="817" t="s">
        <v>790</v>
      </c>
      <c r="P454" s="817"/>
      <c r="Q454" s="817"/>
    </row>
    <row r="455" spans="1:19" ht="12" customHeight="1">
      <c r="A455" s="817"/>
      <c r="B455" s="817"/>
      <c r="C455" s="817" t="s">
        <v>791</v>
      </c>
      <c r="D455" s="817" t="s">
        <v>2973</v>
      </c>
      <c r="E455" s="817"/>
      <c r="F455" s="817"/>
      <c r="G455" s="817"/>
      <c r="H455" s="817"/>
      <c r="I455" s="817"/>
      <c r="J455" s="817"/>
      <c r="K455" s="817"/>
      <c r="L455" s="817"/>
      <c r="M455" s="817"/>
      <c r="N455" s="817"/>
      <c r="O455" s="817" t="s">
        <v>2975</v>
      </c>
      <c r="P455" s="817"/>
      <c r="Q455" s="817"/>
    </row>
    <row r="456" spans="1:19" ht="12" customHeight="1">
      <c r="A456" s="817"/>
      <c r="B456" s="817"/>
      <c r="C456" s="817" t="s">
        <v>791</v>
      </c>
      <c r="D456" s="817" t="s">
        <v>2974</v>
      </c>
      <c r="E456" s="817"/>
      <c r="F456" s="817"/>
      <c r="G456" s="817"/>
      <c r="H456" s="817"/>
      <c r="I456" s="817"/>
      <c r="J456" s="817"/>
      <c r="K456" s="817"/>
      <c r="L456" s="817"/>
      <c r="M456" s="817"/>
      <c r="N456" s="817"/>
      <c r="O456" s="817"/>
      <c r="P456" s="817"/>
      <c r="Q456" s="817"/>
    </row>
    <row r="457" spans="1:19" ht="12" customHeight="1">
      <c r="A457" s="817"/>
      <c r="B457" s="817"/>
      <c r="C457" s="817" t="s">
        <v>792</v>
      </c>
      <c r="D457" s="817" t="s">
        <v>2976</v>
      </c>
      <c r="E457" s="817"/>
      <c r="F457" s="817"/>
      <c r="G457" s="817"/>
      <c r="H457" s="817"/>
      <c r="I457" s="817"/>
      <c r="J457" s="817"/>
      <c r="K457" s="817"/>
      <c r="L457" s="817"/>
      <c r="M457" s="817"/>
      <c r="N457" s="817"/>
      <c r="O457" s="817" t="s">
        <v>792</v>
      </c>
      <c r="P457" s="817"/>
      <c r="Q457" s="817"/>
    </row>
    <row r="458" spans="1:19" ht="12" customHeight="1">
      <c r="A458" s="817"/>
      <c r="B458" s="817"/>
      <c r="C458" s="817" t="s">
        <v>793</v>
      </c>
      <c r="D458" s="817" t="s">
        <v>2977</v>
      </c>
      <c r="E458" s="817"/>
      <c r="F458" s="817"/>
      <c r="G458" s="817"/>
      <c r="H458" s="817"/>
      <c r="I458" s="817"/>
      <c r="J458" s="817"/>
      <c r="K458" s="817"/>
      <c r="L458" s="817"/>
      <c r="M458" s="817"/>
      <c r="N458" s="817"/>
      <c r="O458" s="817" t="s">
        <v>793</v>
      </c>
      <c r="P458" s="817"/>
      <c r="Q458" s="817"/>
    </row>
    <row r="459" spans="1:19" ht="12" customHeight="1">
      <c r="A459" s="817"/>
      <c r="B459" s="817"/>
      <c r="C459" s="817" t="s">
        <v>794</v>
      </c>
      <c r="D459" s="817" t="s">
        <v>2978</v>
      </c>
      <c r="E459" s="817"/>
      <c r="F459" s="817"/>
      <c r="G459" s="817"/>
      <c r="H459" s="817" t="s">
        <v>2800</v>
      </c>
      <c r="I459" s="817"/>
      <c r="J459" s="817"/>
      <c r="K459" s="817"/>
      <c r="L459" s="817"/>
      <c r="M459" s="817"/>
      <c r="N459" s="817"/>
      <c r="O459" s="817" t="s">
        <v>794</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00" zoomScaleNormal="100" workbookViewId="0">
      <selection activeCell="A19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1208" t="str">
        <f>CONCATENATE("PART NINE - SCORING CRITERIA","  -  ",'Part I-Project Information'!$O$4," ",'Part I-Project Information'!$F$22,", ",'Part I-Project Information'!F24,", ",'Part I-Project Information'!J25," County")</f>
        <v>PART NINE - SCORING CRITERIA  -  2011-012 Veteran Senior Housing - Assisted Living, Decatur, DeKalb County</v>
      </c>
      <c r="B1" s="1209"/>
      <c r="C1" s="1209"/>
      <c r="D1" s="1209"/>
      <c r="E1" s="1209"/>
      <c r="F1" s="1209"/>
      <c r="G1" s="1209"/>
      <c r="H1" s="1209"/>
      <c r="I1" s="1209"/>
      <c r="J1" s="1209"/>
      <c r="K1" s="1209"/>
      <c r="L1" s="1209"/>
      <c r="M1" s="1209"/>
      <c r="N1" s="1209"/>
      <c r="O1" s="1209"/>
      <c r="P1" s="1210"/>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47</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9" t="s">
        <v>3895</v>
      </c>
      <c r="G10" s="40">
        <f>F17</f>
        <v>0</v>
      </c>
      <c r="H10" s="246" t="s">
        <v>321</v>
      </c>
      <c r="M10" s="7">
        <v>7</v>
      </c>
      <c r="N10" s="82" t="s">
        <v>3060</v>
      </c>
      <c r="O10" s="793"/>
      <c r="P10" s="69"/>
    </row>
    <row r="11" spans="1:19" s="52" customFormat="1" ht="11.25" customHeight="1">
      <c r="A11" s="257" t="s">
        <v>3063</v>
      </c>
      <c r="B11" s="238" t="s">
        <v>1215</v>
      </c>
      <c r="D11" s="58"/>
      <c r="E11" s="58"/>
      <c r="F11" s="709" t="s">
        <v>3895</v>
      </c>
      <c r="G11" s="40">
        <f>K17</f>
        <v>0</v>
      </c>
      <c r="H11" s="246" t="s">
        <v>322</v>
      </c>
      <c r="J11" s="59"/>
      <c r="M11" s="7">
        <v>0</v>
      </c>
      <c r="N11" s="82" t="s">
        <v>3063</v>
      </c>
      <c r="O11" s="793"/>
      <c r="P11" s="69"/>
      <c r="Q11" s="146"/>
    </row>
    <row r="12" spans="1:19" s="53" customFormat="1" ht="11.25" customHeight="1">
      <c r="A12" s="257" t="s">
        <v>1238</v>
      </c>
      <c r="B12" s="238" t="s">
        <v>3210</v>
      </c>
      <c r="D12" s="58"/>
      <c r="E12" s="58"/>
      <c r="F12" s="709" t="s">
        <v>3895</v>
      </c>
      <c r="G12" s="40">
        <f>P17</f>
        <v>0</v>
      </c>
      <c r="H12" s="246" t="s">
        <v>323</v>
      </c>
      <c r="J12" s="59"/>
      <c r="M12" s="7">
        <v>1</v>
      </c>
      <c r="N12" s="82" t="s">
        <v>1238</v>
      </c>
      <c r="O12" s="793"/>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390"/>
      <c r="B14" s="1391"/>
      <c r="C14" s="1391"/>
      <c r="D14" s="1391"/>
      <c r="E14" s="1391"/>
      <c r="F14" s="1391"/>
      <c r="G14" s="1391"/>
      <c r="H14" s="1391"/>
      <c r="I14" s="1391"/>
      <c r="J14" s="1391"/>
      <c r="K14" s="1391"/>
      <c r="L14" s="1391"/>
      <c r="M14" s="1391"/>
      <c r="N14" s="1391"/>
      <c r="O14" s="1391"/>
      <c r="P14" s="1392"/>
      <c r="Q14" s="1466" t="s">
        <v>1932</v>
      </c>
      <c r="R14" s="1466"/>
    </row>
    <row r="15" spans="1:19" s="52" customFormat="1" ht="12.6" customHeight="1">
      <c r="A15" s="1393"/>
      <c r="B15" s="1394"/>
      <c r="C15" s="1394"/>
      <c r="D15" s="1394"/>
      <c r="E15" s="1394"/>
      <c r="F15" s="1394"/>
      <c r="G15" s="1394"/>
      <c r="H15" s="1394"/>
      <c r="I15" s="1394"/>
      <c r="J15" s="1394"/>
      <c r="K15" s="1394"/>
      <c r="L15" s="1394"/>
      <c r="M15" s="1394"/>
      <c r="N15" s="1394"/>
      <c r="O15" s="1394"/>
      <c r="P15" s="1395"/>
      <c r="Q15" s="1466"/>
      <c r="R15" s="1466"/>
      <c r="S15" s="217"/>
    </row>
    <row r="16" spans="1:19" s="52" customFormat="1" ht="10.9" customHeight="1">
      <c r="A16" s="260" t="s">
        <v>2922</v>
      </c>
      <c r="C16" s="129"/>
      <c r="D16" s="129"/>
      <c r="F16" s="179" t="s">
        <v>2739</v>
      </c>
      <c r="K16" s="179" t="s">
        <v>2739</v>
      </c>
      <c r="P16" s="62" t="s">
        <v>2739</v>
      </c>
      <c r="R16" s="217"/>
      <c r="S16" s="217"/>
    </row>
    <row r="17" spans="1:19" s="52" customFormat="1" ht="12" customHeight="1">
      <c r="A17" s="1555" t="s">
        <v>3639</v>
      </c>
      <c r="B17" s="1555"/>
      <c r="C17" s="1555"/>
      <c r="D17" s="1555"/>
      <c r="E17" s="83" t="s">
        <v>785</v>
      </c>
      <c r="F17" s="96">
        <f>SUM(F18:F29)</f>
        <v>0</v>
      </c>
      <c r="G17" s="1556" t="s">
        <v>3640</v>
      </c>
      <c r="H17" s="1555"/>
      <c r="I17" s="1555"/>
      <c r="J17" s="83" t="s">
        <v>785</v>
      </c>
      <c r="K17" s="96">
        <f>SUM(K18:K29)</f>
        <v>0</v>
      </c>
      <c r="L17" s="746" t="s">
        <v>2247</v>
      </c>
      <c r="M17" s="129"/>
      <c r="N17" s="127"/>
      <c r="O17" s="83"/>
      <c r="P17" s="96">
        <f>SUM(P18:P29)</f>
        <v>0</v>
      </c>
      <c r="R17" s="217"/>
      <c r="S17" s="217"/>
    </row>
    <row r="18" spans="1:19" s="52" customFormat="1" ht="24.6" customHeight="1">
      <c r="A18" s="1518">
        <v>1</v>
      </c>
      <c r="B18" s="1553"/>
      <c r="C18" s="1553"/>
      <c r="D18" s="1553"/>
      <c r="E18" s="1554"/>
      <c r="F18" s="308"/>
      <c r="G18" s="1557">
        <v>1</v>
      </c>
      <c r="H18" s="1558"/>
      <c r="I18" s="1558"/>
      <c r="J18" s="1558"/>
      <c r="K18" s="308"/>
      <c r="L18" s="1557">
        <v>1</v>
      </c>
      <c r="M18" s="1558"/>
      <c r="N18" s="1558"/>
      <c r="O18" s="1558"/>
      <c r="P18" s="308"/>
      <c r="Q18" s="1466" t="s">
        <v>1932</v>
      </c>
      <c r="R18" s="1466"/>
      <c r="S18" s="217"/>
    </row>
    <row r="19" spans="1:19" s="52" customFormat="1" ht="24.6" customHeight="1">
      <c r="A19" s="1548">
        <v>2</v>
      </c>
      <c r="B19" s="1549"/>
      <c r="C19" s="1549"/>
      <c r="D19" s="1549"/>
      <c r="E19" s="1550"/>
      <c r="F19" s="309"/>
      <c r="G19" s="1551">
        <v>2</v>
      </c>
      <c r="H19" s="1552"/>
      <c r="I19" s="1552"/>
      <c r="J19" s="1552"/>
      <c r="K19" s="309"/>
      <c r="L19" s="1551">
        <v>2</v>
      </c>
      <c r="M19" s="1552"/>
      <c r="N19" s="1552"/>
      <c r="O19" s="1552"/>
      <c r="P19" s="309"/>
      <c r="Q19" s="1466"/>
      <c r="R19" s="1466"/>
      <c r="S19" s="217"/>
    </row>
    <row r="20" spans="1:19" s="52" customFormat="1" ht="24.6" customHeight="1">
      <c r="A20" s="1548">
        <v>3</v>
      </c>
      <c r="B20" s="1549"/>
      <c r="C20" s="1549"/>
      <c r="D20" s="1549"/>
      <c r="E20" s="1550"/>
      <c r="F20" s="309"/>
      <c r="G20" s="1551">
        <v>3</v>
      </c>
      <c r="H20" s="1552"/>
      <c r="I20" s="1552"/>
      <c r="J20" s="1552"/>
      <c r="K20" s="309"/>
      <c r="L20" s="1551">
        <v>3</v>
      </c>
      <c r="M20" s="1552"/>
      <c r="N20" s="1552"/>
      <c r="O20" s="1552"/>
      <c r="P20" s="309"/>
      <c r="Q20" s="1466"/>
      <c r="R20" s="1466"/>
      <c r="S20" s="217"/>
    </row>
    <row r="21" spans="1:19" s="52" customFormat="1" ht="24.6" customHeight="1">
      <c r="A21" s="1548">
        <v>4</v>
      </c>
      <c r="B21" s="1549"/>
      <c r="C21" s="1549"/>
      <c r="D21" s="1549"/>
      <c r="E21" s="1550"/>
      <c r="F21" s="309"/>
      <c r="G21" s="1551">
        <v>4</v>
      </c>
      <c r="H21" s="1552"/>
      <c r="I21" s="1552"/>
      <c r="J21" s="1552"/>
      <c r="K21" s="309"/>
      <c r="L21" s="1551">
        <v>4</v>
      </c>
      <c r="M21" s="1552"/>
      <c r="N21" s="1552"/>
      <c r="O21" s="1552"/>
      <c r="P21" s="309"/>
      <c r="Q21" s="1466"/>
      <c r="R21" s="1466"/>
      <c r="S21" s="217"/>
    </row>
    <row r="22" spans="1:19" s="52" customFormat="1" ht="24.6" customHeight="1">
      <c r="A22" s="1548">
        <v>5</v>
      </c>
      <c r="B22" s="1549"/>
      <c r="C22" s="1549"/>
      <c r="D22" s="1549"/>
      <c r="E22" s="1550"/>
      <c r="F22" s="309"/>
      <c r="G22" s="1551">
        <v>5</v>
      </c>
      <c r="H22" s="1552"/>
      <c r="I22" s="1552"/>
      <c r="J22" s="1552"/>
      <c r="K22" s="309"/>
      <c r="L22" s="1551">
        <v>5</v>
      </c>
      <c r="M22" s="1552"/>
      <c r="N22" s="1552"/>
      <c r="O22" s="1552"/>
      <c r="P22" s="309"/>
      <c r="R22" s="217"/>
      <c r="S22" s="217"/>
    </row>
    <row r="23" spans="1:19" s="52" customFormat="1" ht="24.6" customHeight="1">
      <c r="A23" s="1548">
        <v>6</v>
      </c>
      <c r="B23" s="1549"/>
      <c r="C23" s="1549"/>
      <c r="D23" s="1549"/>
      <c r="E23" s="1550"/>
      <c r="F23" s="309"/>
      <c r="G23" s="1551">
        <v>6</v>
      </c>
      <c r="H23" s="1552"/>
      <c r="I23" s="1552"/>
      <c r="J23" s="1552"/>
      <c r="K23" s="309"/>
      <c r="L23" s="1551">
        <v>6</v>
      </c>
      <c r="M23" s="1552"/>
      <c r="N23" s="1552"/>
      <c r="O23" s="1552"/>
      <c r="P23" s="309"/>
      <c r="R23" s="217"/>
      <c r="S23" s="217"/>
    </row>
    <row r="24" spans="1:19" s="52" customFormat="1" ht="24.6" customHeight="1">
      <c r="A24" s="1548">
        <v>7</v>
      </c>
      <c r="B24" s="1549"/>
      <c r="C24" s="1549"/>
      <c r="D24" s="1549"/>
      <c r="E24" s="1550"/>
      <c r="F24" s="309"/>
      <c r="G24" s="1551">
        <v>7</v>
      </c>
      <c r="H24" s="1552"/>
      <c r="I24" s="1552"/>
      <c r="J24" s="1552"/>
      <c r="K24" s="309"/>
      <c r="L24" s="1551">
        <v>7</v>
      </c>
      <c r="M24" s="1552"/>
      <c r="N24" s="1552"/>
      <c r="O24" s="1552"/>
      <c r="P24" s="309"/>
      <c r="R24" s="217"/>
      <c r="S24" s="217"/>
    </row>
    <row r="25" spans="1:19" s="52" customFormat="1" ht="24.6" customHeight="1">
      <c r="A25" s="1548">
        <v>8</v>
      </c>
      <c r="B25" s="1549"/>
      <c r="C25" s="1549"/>
      <c r="D25" s="1549"/>
      <c r="E25" s="1550"/>
      <c r="F25" s="309"/>
      <c r="G25" s="1551">
        <v>8</v>
      </c>
      <c r="H25" s="1552"/>
      <c r="I25" s="1552"/>
      <c r="J25" s="1552"/>
      <c r="K25" s="309"/>
      <c r="L25" s="1551">
        <v>8</v>
      </c>
      <c r="M25" s="1552"/>
      <c r="N25" s="1552"/>
      <c r="O25" s="1552"/>
      <c r="P25" s="309"/>
      <c r="R25" s="217"/>
      <c r="S25" s="217"/>
    </row>
    <row r="26" spans="1:19" s="52" customFormat="1" ht="24.6" customHeight="1">
      <c r="A26" s="1548">
        <v>9</v>
      </c>
      <c r="B26" s="1549"/>
      <c r="C26" s="1549"/>
      <c r="D26" s="1549"/>
      <c r="E26" s="1550"/>
      <c r="F26" s="309"/>
      <c r="G26" s="1551">
        <v>9</v>
      </c>
      <c r="H26" s="1552"/>
      <c r="I26" s="1552"/>
      <c r="J26" s="1552"/>
      <c r="K26" s="309"/>
      <c r="L26" s="1551">
        <v>9</v>
      </c>
      <c r="M26" s="1552"/>
      <c r="N26" s="1552"/>
      <c r="O26" s="1552"/>
      <c r="P26" s="309"/>
      <c r="R26" s="217"/>
      <c r="S26" s="217"/>
    </row>
    <row r="27" spans="1:19" s="52" customFormat="1" ht="24.6" customHeight="1">
      <c r="A27" s="1548">
        <v>10</v>
      </c>
      <c r="B27" s="1549"/>
      <c r="C27" s="1549"/>
      <c r="D27" s="1549"/>
      <c r="E27" s="1550"/>
      <c r="F27" s="309"/>
      <c r="G27" s="1551">
        <v>10</v>
      </c>
      <c r="H27" s="1552"/>
      <c r="I27" s="1552"/>
      <c r="J27" s="1552"/>
      <c r="K27" s="309"/>
      <c r="L27" s="1551">
        <v>10</v>
      </c>
      <c r="M27" s="1552"/>
      <c r="N27" s="1552"/>
      <c r="O27" s="1552"/>
      <c r="P27" s="309"/>
      <c r="R27" s="217"/>
      <c r="S27" s="217"/>
    </row>
    <row r="28" spans="1:19" s="52" customFormat="1" ht="24.6" customHeight="1">
      <c r="A28" s="1548">
        <v>11</v>
      </c>
      <c r="B28" s="1549"/>
      <c r="C28" s="1549"/>
      <c r="D28" s="1549"/>
      <c r="E28" s="1550"/>
      <c r="F28" s="309"/>
      <c r="G28" s="1551">
        <v>11</v>
      </c>
      <c r="H28" s="1552"/>
      <c r="I28" s="1552"/>
      <c r="J28" s="1552"/>
      <c r="K28" s="309"/>
      <c r="L28" s="1551">
        <v>11</v>
      </c>
      <c r="M28" s="1552"/>
      <c r="N28" s="1552"/>
      <c r="O28" s="1552"/>
      <c r="P28" s="309"/>
      <c r="R28" s="217"/>
      <c r="S28" s="217"/>
    </row>
    <row r="29" spans="1:19" s="52" customFormat="1" ht="24.6" customHeight="1">
      <c r="A29" s="1515">
        <v>12</v>
      </c>
      <c r="B29" s="1560"/>
      <c r="C29" s="1560"/>
      <c r="D29" s="1560"/>
      <c r="E29" s="1561"/>
      <c r="F29" s="310"/>
      <c r="G29" s="1568">
        <v>12</v>
      </c>
      <c r="H29" s="1569"/>
      <c r="I29" s="1569"/>
      <c r="J29" s="1569"/>
      <c r="K29" s="310"/>
      <c r="L29" s="1568">
        <v>12</v>
      </c>
      <c r="M29" s="1569"/>
      <c r="N29" s="1569"/>
      <c r="O29" s="1569"/>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1631</v>
      </c>
      <c r="E31" s="72"/>
      <c r="G31" s="119"/>
      <c r="H31" s="65"/>
      <c r="K31" s="149"/>
      <c r="L31" s="573" t="str">
        <f>IF($O31&gt;$M31,"* * Check Score! * *","")</f>
        <v/>
      </c>
      <c r="M31" s="1">
        <v>3</v>
      </c>
      <c r="N31" s="8"/>
      <c r="O31" s="793">
        <v>3</v>
      </c>
      <c r="P31" s="69"/>
      <c r="Q31" s="146" t="s">
        <v>651</v>
      </c>
      <c r="R31" s="573" t="str">
        <f>IF(OR($O31=$M31,$O31=0,$O31=""),"","* * Check Score! * *")</f>
        <v/>
      </c>
    </row>
    <row r="32" spans="1:19" s="53" customFormat="1" ht="11.25" customHeight="1">
      <c r="A32" s="52"/>
      <c r="B32" s="154" t="s">
        <v>1938</v>
      </c>
      <c r="E32" s="72"/>
      <c r="H32" s="588" t="s">
        <v>130</v>
      </c>
      <c r="J32" s="794">
        <v>12</v>
      </c>
      <c r="L32" s="82" t="s">
        <v>1939</v>
      </c>
      <c r="M32" s="148">
        <f>IF(OR('Part VI-Revenues &amp; Expenses'!$M$61="", 'Part VI-Revenues &amp; Expenses'!$M$61=0),"",J32/'Part VI-Revenues &amp; Expenses'!$M$61)</f>
        <v>0.2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421"/>
      <c r="B34" s="1433"/>
      <c r="C34" s="1433"/>
      <c r="D34" s="1433"/>
      <c r="E34" s="1433"/>
      <c r="F34" s="1433"/>
      <c r="G34" s="1433"/>
      <c r="H34" s="1433"/>
      <c r="I34" s="1433"/>
      <c r="J34" s="1433"/>
      <c r="K34" s="1433"/>
      <c r="L34" s="1433"/>
      <c r="M34" s="1433"/>
      <c r="N34" s="1433"/>
      <c r="O34" s="1433"/>
      <c r="P34" s="1434"/>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411"/>
      <c r="B36" s="1412"/>
      <c r="C36" s="1412"/>
      <c r="D36" s="1412"/>
      <c r="E36" s="1412"/>
      <c r="F36" s="1412"/>
      <c r="G36" s="1412"/>
      <c r="H36" s="1412"/>
      <c r="I36" s="1412"/>
      <c r="J36" s="1412"/>
      <c r="K36" s="1412"/>
      <c r="L36" s="1412"/>
      <c r="M36" s="1412"/>
      <c r="N36" s="1412"/>
      <c r="O36" s="1412"/>
      <c r="P36" s="1413"/>
    </row>
    <row r="37" spans="1:18" ht="13.15" customHeight="1"/>
    <row r="38" spans="1:18" s="53" customFormat="1" ht="12.6" customHeight="1">
      <c r="A38" s="210" t="s">
        <v>3823</v>
      </c>
      <c r="B38" s="142" t="s">
        <v>2930</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3060</v>
      </c>
      <c r="B41" s="238" t="s">
        <v>2932</v>
      </c>
      <c r="C41" s="5"/>
      <c r="D41" s="5"/>
      <c r="E41" s="246" t="s">
        <v>2935</v>
      </c>
      <c r="F41" s="461"/>
      <c r="G41" s="246" t="s">
        <v>2931</v>
      </c>
      <c r="I41" s="49"/>
      <c r="K41" s="58"/>
      <c r="L41" s="794"/>
      <c r="M41" s="3">
        <v>10</v>
      </c>
      <c r="N41" s="252" t="s">
        <v>3060</v>
      </c>
      <c r="O41" s="795">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795">
        <v>2</v>
      </c>
      <c r="P42" s="89"/>
      <c r="R42" s="573"/>
    </row>
    <row r="43" spans="1:18" s="53" customFormat="1" ht="12.6" customHeight="1">
      <c r="A43" s="189" t="s">
        <v>1238</v>
      </c>
      <c r="B43" s="238" t="s">
        <v>2934</v>
      </c>
      <c r="D43" s="51"/>
      <c r="E43" s="246" t="s">
        <v>624</v>
      </c>
      <c r="F43" s="599"/>
      <c r="G43" s="246" t="s">
        <v>625</v>
      </c>
      <c r="L43" s="794"/>
      <c r="M43" s="7" t="s">
        <v>1900</v>
      </c>
      <c r="N43" s="252" t="s">
        <v>1238</v>
      </c>
      <c r="O43" s="793"/>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7.75" customHeight="1">
      <c r="A46" s="1390" t="s">
        <v>4072</v>
      </c>
      <c r="B46" s="1391"/>
      <c r="C46" s="1391"/>
      <c r="D46" s="1391"/>
      <c r="E46" s="1391"/>
      <c r="F46" s="1391"/>
      <c r="G46" s="1391"/>
      <c r="H46" s="1391"/>
      <c r="I46" s="1391"/>
      <c r="J46" s="1391"/>
      <c r="K46" s="1391"/>
      <c r="L46" s="1391"/>
      <c r="M46" s="1391"/>
      <c r="N46" s="1391"/>
      <c r="O46" s="1391"/>
      <c r="P46" s="1392"/>
      <c r="Q46" s="1466" t="s">
        <v>1932</v>
      </c>
      <c r="R46" s="1466"/>
    </row>
    <row r="47" spans="1:18" s="53" customFormat="1" ht="23.45" customHeight="1">
      <c r="A47" s="1425" t="s">
        <v>4070</v>
      </c>
      <c r="B47" s="1426"/>
      <c r="C47" s="1426"/>
      <c r="D47" s="1426"/>
      <c r="E47" s="1426"/>
      <c r="F47" s="1426"/>
      <c r="G47" s="1426"/>
      <c r="H47" s="1426"/>
      <c r="I47" s="1426"/>
      <c r="J47" s="1426"/>
      <c r="K47" s="1426"/>
      <c r="L47" s="1426"/>
      <c r="M47" s="1426"/>
      <c r="N47" s="1426"/>
      <c r="O47" s="1426"/>
      <c r="P47" s="1427"/>
      <c r="Q47" s="1466"/>
      <c r="R47" s="1466"/>
    </row>
    <row r="48" spans="1:18" s="53" customFormat="1" ht="23.45" customHeight="1">
      <c r="A48" s="1393"/>
      <c r="B48" s="1394"/>
      <c r="C48" s="1394"/>
      <c r="D48" s="1394"/>
      <c r="E48" s="1394"/>
      <c r="F48" s="1394"/>
      <c r="G48" s="1394"/>
      <c r="H48" s="1394"/>
      <c r="I48" s="1394"/>
      <c r="J48" s="1394"/>
      <c r="K48" s="1394"/>
      <c r="L48" s="1394"/>
      <c r="M48" s="1394"/>
      <c r="N48" s="1394"/>
      <c r="O48" s="1394"/>
      <c r="P48" s="1395"/>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1396"/>
      <c r="B50" s="1397"/>
      <c r="C50" s="1397"/>
      <c r="D50" s="1397"/>
      <c r="E50" s="1397"/>
      <c r="F50" s="1397"/>
      <c r="G50" s="1397"/>
      <c r="H50" s="1397"/>
      <c r="I50" s="1397"/>
      <c r="J50" s="1397"/>
      <c r="K50" s="1397"/>
      <c r="L50" s="1397"/>
      <c r="M50" s="1397"/>
      <c r="N50" s="1397"/>
      <c r="O50" s="1397"/>
      <c r="P50" s="1398"/>
      <c r="Q50" s="1466" t="s">
        <v>1932</v>
      </c>
      <c r="R50" s="1466"/>
    </row>
    <row r="51" spans="1:18" s="53" customFormat="1" ht="23.45" customHeight="1">
      <c r="A51" s="1442"/>
      <c r="B51" s="1443"/>
      <c r="C51" s="1443"/>
      <c r="D51" s="1443"/>
      <c r="E51" s="1443"/>
      <c r="F51" s="1443"/>
      <c r="G51" s="1443"/>
      <c r="H51" s="1443"/>
      <c r="I51" s="1443"/>
      <c r="J51" s="1443"/>
      <c r="K51" s="1443"/>
      <c r="L51" s="1443"/>
      <c r="M51" s="1443"/>
      <c r="N51" s="1443"/>
      <c r="O51" s="1443"/>
      <c r="P51" s="1444"/>
      <c r="Q51" s="1466"/>
      <c r="R51" s="1466"/>
    </row>
    <row r="52" spans="1:18" s="53" customFormat="1" ht="23.45" customHeight="1">
      <c r="A52" s="1408"/>
      <c r="B52" s="1409"/>
      <c r="C52" s="1409"/>
      <c r="D52" s="1409"/>
      <c r="E52" s="1409"/>
      <c r="F52" s="1409"/>
      <c r="G52" s="1409"/>
      <c r="H52" s="1409"/>
      <c r="I52" s="1409"/>
      <c r="J52" s="1409"/>
      <c r="K52" s="1409"/>
      <c r="L52" s="1409"/>
      <c r="M52" s="1409"/>
      <c r="N52" s="1409"/>
      <c r="O52" s="1409"/>
      <c r="P52" s="1410"/>
    </row>
    <row r="53" spans="1:18" ht="3.6" customHeight="1">
      <c r="M53" s="42"/>
      <c r="N53" s="156"/>
      <c r="O53" s="206"/>
      <c r="P53" s="206"/>
    </row>
    <row r="54" spans="1:18" ht="3" customHeight="1"/>
    <row r="55" spans="1:18" s="53" customFormat="1" ht="12.6" customHeight="1">
      <c r="A55" s="210" t="s">
        <v>1885</v>
      </c>
      <c r="B55" s="142" t="s">
        <v>1940</v>
      </c>
      <c r="D55" s="51"/>
      <c r="H55" s="59" t="s">
        <v>2941</v>
      </c>
      <c r="I55" s="49"/>
      <c r="J55" s="58"/>
      <c r="K55" s="58"/>
      <c r="M55" s="3">
        <v>2</v>
      </c>
      <c r="N55" s="62"/>
      <c r="O55" s="205">
        <f>MIN($M55,(O56+O57))</f>
        <v>1</v>
      </c>
      <c r="P55" s="205">
        <f>MIN($M55,(P56+P57))</f>
        <v>0</v>
      </c>
      <c r="Q55" s="146" t="s">
        <v>651</v>
      </c>
    </row>
    <row r="56" spans="1:18" s="53" customFormat="1" ht="12" customHeight="1">
      <c r="A56" s="189" t="s">
        <v>3060</v>
      </c>
      <c r="B56" s="238" t="s">
        <v>1709</v>
      </c>
      <c r="C56" s="5"/>
      <c r="D56" s="5"/>
      <c r="E56" s="46"/>
      <c r="F56" s="5"/>
      <c r="G56" s="49"/>
      <c r="I56" s="49"/>
      <c r="K56" s="58"/>
      <c r="L56" s="573" t="str">
        <f>IF(OR($O56=$M56,$O56=0,$O56=""),"","* * Check Score! * *")</f>
        <v/>
      </c>
      <c r="M56" s="3">
        <v>2</v>
      </c>
      <c r="N56" s="252" t="s">
        <v>3060</v>
      </c>
      <c r="O56" s="795"/>
      <c r="P56" s="89"/>
      <c r="R56" s="573"/>
    </row>
    <row r="57" spans="1:18" s="53" customFormat="1" ht="12.6" customHeight="1">
      <c r="A57" s="189" t="s">
        <v>3063</v>
      </c>
      <c r="B57" s="238" t="s">
        <v>1710</v>
      </c>
      <c r="E57" s="51"/>
      <c r="K57" s="58"/>
      <c r="L57" s="573" t="str">
        <f>IF(OR($O57=$M57,$O57=0,$O57=""),"","* * Check Score! * *")</f>
        <v/>
      </c>
      <c r="M57" s="3">
        <v>1</v>
      </c>
      <c r="N57" s="62" t="s">
        <v>3063</v>
      </c>
      <c r="O57" s="795">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421" t="s">
        <v>4047</v>
      </c>
      <c r="B59" s="1433"/>
      <c r="C59" s="1433"/>
      <c r="D59" s="1433"/>
      <c r="E59" s="1433"/>
      <c r="F59" s="1433"/>
      <c r="G59" s="1433"/>
      <c r="H59" s="1433"/>
      <c r="I59" s="1433"/>
      <c r="J59" s="1433"/>
      <c r="K59" s="1433"/>
      <c r="L59" s="1433"/>
      <c r="M59" s="1433"/>
      <c r="N59" s="1433"/>
      <c r="O59" s="1433"/>
      <c r="P59" s="1434"/>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1396"/>
      <c r="B61" s="1397"/>
      <c r="C61" s="1397"/>
      <c r="D61" s="1397"/>
      <c r="E61" s="1397"/>
      <c r="F61" s="1397"/>
      <c r="G61" s="1397"/>
      <c r="H61" s="1397"/>
      <c r="I61" s="1397"/>
      <c r="J61" s="1397"/>
      <c r="K61" s="1397"/>
      <c r="L61" s="1397"/>
      <c r="M61" s="1397"/>
      <c r="N61" s="1397"/>
      <c r="O61" s="1397"/>
      <c r="P61" s="1398"/>
    </row>
    <row r="62" spans="1:18" s="53" customFormat="1" ht="23.45" customHeight="1">
      <c r="A62" s="1408"/>
      <c r="B62" s="1409"/>
      <c r="C62" s="1409"/>
      <c r="D62" s="1409"/>
      <c r="E62" s="1409"/>
      <c r="F62" s="1409"/>
      <c r="G62" s="1409"/>
      <c r="H62" s="1409"/>
      <c r="I62" s="1409"/>
      <c r="J62" s="1409"/>
      <c r="K62" s="1409"/>
      <c r="L62" s="1409"/>
      <c r="M62" s="1409"/>
      <c r="N62" s="1409"/>
      <c r="O62" s="1409"/>
      <c r="P62" s="1410"/>
    </row>
    <row r="63" spans="1:18" s="53" customFormat="1" ht="3" customHeight="1">
      <c r="A63" s="253"/>
      <c r="B63" s="61"/>
      <c r="G63" s="51"/>
      <c r="J63" s="58"/>
      <c r="K63" s="58"/>
      <c r="M63" s="139"/>
      <c r="N63" s="61"/>
      <c r="O63" s="139"/>
      <c r="P63" s="139"/>
    </row>
    <row r="64" spans="1:18" s="53" customFormat="1" ht="12.6" customHeight="1">
      <c r="A64" s="210" t="s">
        <v>1886</v>
      </c>
      <c r="B64" s="142" t="s">
        <v>3704</v>
      </c>
      <c r="D64" s="51"/>
      <c r="E64" s="600" t="s">
        <v>3706</v>
      </c>
      <c r="I64" s="59" t="s">
        <v>2941</v>
      </c>
      <c r="M64" s="3">
        <v>1</v>
      </c>
      <c r="N64" s="616" t="str">
        <f>IF(OR($O64=$M64,$O64=0,$O64=""),"","***")</f>
        <v/>
      </c>
      <c r="O64" s="795">
        <v>0</v>
      </c>
      <c r="P64" s="89"/>
      <c r="Q64" s="146" t="s">
        <v>651</v>
      </c>
    </row>
    <row r="65" spans="1:17" s="53" customFormat="1" ht="12.6" customHeight="1">
      <c r="A65" s="210"/>
      <c r="B65" s="600" t="s">
        <v>1211</v>
      </c>
      <c r="D65" s="51"/>
      <c r="H65" s="59"/>
      <c r="I65" s="59"/>
      <c r="J65" s="59"/>
      <c r="K65" s="59"/>
      <c r="L65" s="59"/>
      <c r="M65" s="3"/>
      <c r="N65" s="616"/>
      <c r="O65" s="796"/>
      <c r="P65" s="234"/>
      <c r="Q65" s="146"/>
    </row>
    <row r="66" spans="1:17" s="53" customFormat="1" ht="12.6" customHeight="1">
      <c r="A66" s="210"/>
      <c r="B66" s="600" t="s">
        <v>1210</v>
      </c>
      <c r="D66" s="51"/>
      <c r="H66" s="59"/>
      <c r="I66" s="1529"/>
      <c r="J66" s="1530"/>
      <c r="K66" s="1530"/>
      <c r="L66" s="1531"/>
      <c r="M66" s="3"/>
      <c r="N66" s="616"/>
      <c r="O66" s="616"/>
      <c r="P66" s="616"/>
      <c r="Q66" s="146"/>
    </row>
    <row r="67" spans="1:17" s="53" customFormat="1" ht="12.6" customHeight="1">
      <c r="A67" s="210"/>
      <c r="B67" s="600" t="s">
        <v>1212</v>
      </c>
      <c r="D67" s="51"/>
      <c r="H67" s="59"/>
      <c r="I67" s="59"/>
      <c r="J67" s="59"/>
      <c r="K67" s="59"/>
      <c r="L67" s="59"/>
      <c r="M67" s="3"/>
      <c r="N67" s="616"/>
      <c r="O67" s="79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421" t="s">
        <v>1580</v>
      </c>
      <c r="B69" s="1433"/>
      <c r="C69" s="1433"/>
      <c r="D69" s="1433"/>
      <c r="E69" s="1433"/>
      <c r="F69" s="1433"/>
      <c r="G69" s="1433"/>
      <c r="H69" s="1433"/>
      <c r="I69" s="1433"/>
      <c r="J69" s="1433"/>
      <c r="K69" s="1433"/>
      <c r="L69" s="1433"/>
      <c r="M69" s="1433"/>
      <c r="N69" s="1433"/>
      <c r="O69" s="1433"/>
      <c r="P69" s="1434"/>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1396"/>
      <c r="B71" s="1397"/>
      <c r="C71" s="1397"/>
      <c r="D71" s="1397"/>
      <c r="E71" s="1397"/>
      <c r="F71" s="1397"/>
      <c r="G71" s="1397"/>
      <c r="H71" s="1397"/>
      <c r="I71" s="1397"/>
      <c r="J71" s="1397"/>
      <c r="K71" s="1397"/>
      <c r="L71" s="1397"/>
      <c r="M71" s="1397"/>
      <c r="N71" s="1397"/>
      <c r="O71" s="1397"/>
      <c r="P71" s="1398"/>
    </row>
    <row r="72" spans="1:17" s="53" customFormat="1" ht="23.45" customHeight="1">
      <c r="A72" s="1408"/>
      <c r="B72" s="1409"/>
      <c r="C72" s="1409"/>
      <c r="D72" s="1409"/>
      <c r="E72" s="1409"/>
      <c r="F72" s="1409"/>
      <c r="G72" s="1409"/>
      <c r="H72" s="1409"/>
      <c r="I72" s="1409"/>
      <c r="J72" s="1409"/>
      <c r="K72" s="1409"/>
      <c r="L72" s="1409"/>
      <c r="M72" s="1409"/>
      <c r="N72" s="1409"/>
      <c r="O72" s="1409"/>
      <c r="P72" s="1410"/>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2090</v>
      </c>
      <c r="I74" s="59" t="s">
        <v>2941</v>
      </c>
      <c r="M74" s="3">
        <v>2</v>
      </c>
      <c r="N74" s="62"/>
      <c r="O74" s="795">
        <v>0</v>
      </c>
      <c r="P74" s="89"/>
      <c r="Q74" s="146" t="s">
        <v>651</v>
      </c>
    </row>
    <row r="75" spans="1:17" s="53" customFormat="1" ht="12.6" customHeight="1">
      <c r="A75" s="210"/>
      <c r="B75" s="600" t="s">
        <v>1213</v>
      </c>
      <c r="D75" s="51"/>
      <c r="E75" s="46"/>
      <c r="I75" s="1529"/>
      <c r="J75" s="1530"/>
      <c r="K75" s="1530"/>
      <c r="L75" s="1531"/>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421" t="s">
        <v>1580</v>
      </c>
      <c r="B77" s="1433"/>
      <c r="C77" s="1433"/>
      <c r="D77" s="1433"/>
      <c r="E77" s="1433"/>
      <c r="F77" s="1433"/>
      <c r="G77" s="1433"/>
      <c r="H77" s="1433"/>
      <c r="I77" s="1433"/>
      <c r="J77" s="1433"/>
      <c r="K77" s="1433"/>
      <c r="L77" s="1433"/>
      <c r="M77" s="1433"/>
      <c r="N77" s="1433"/>
      <c r="O77" s="1433"/>
      <c r="P77" s="1434"/>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1396"/>
      <c r="B79" s="1397"/>
      <c r="C79" s="1397"/>
      <c r="D79" s="1397"/>
      <c r="E79" s="1397"/>
      <c r="F79" s="1397"/>
      <c r="G79" s="1397"/>
      <c r="H79" s="1397"/>
      <c r="I79" s="1397"/>
      <c r="J79" s="1397"/>
      <c r="K79" s="1397"/>
      <c r="L79" s="1397"/>
      <c r="M79" s="1397"/>
      <c r="N79" s="1397"/>
      <c r="O79" s="1397"/>
      <c r="P79" s="1398"/>
    </row>
    <row r="80" spans="1:17" s="53" customFormat="1" ht="23.45" customHeight="1">
      <c r="A80" s="1408"/>
      <c r="B80" s="1409"/>
      <c r="C80" s="1409"/>
      <c r="D80" s="1409"/>
      <c r="E80" s="1409"/>
      <c r="F80" s="1409"/>
      <c r="G80" s="1409"/>
      <c r="H80" s="1409"/>
      <c r="I80" s="1409"/>
      <c r="J80" s="1409"/>
      <c r="K80" s="1409"/>
      <c r="L80" s="1409"/>
      <c r="M80" s="1409"/>
      <c r="N80" s="1409"/>
      <c r="O80" s="1409"/>
      <c r="P80" s="1410"/>
    </row>
    <row r="81" spans="1:18" ht="3" customHeight="1">
      <c r="B81" s="159"/>
      <c r="C81" s="159"/>
      <c r="D81" s="159"/>
      <c r="E81" s="159"/>
      <c r="R81" s="53"/>
    </row>
    <row r="82" spans="1:18" s="53" customFormat="1" ht="12.6" customHeight="1">
      <c r="A82" s="210" t="s">
        <v>743</v>
      </c>
      <c r="B82" s="143" t="s">
        <v>277</v>
      </c>
      <c r="D82" s="49"/>
      <c r="E82" s="46"/>
      <c r="F82" s="246" t="s">
        <v>626</v>
      </c>
      <c r="I82" s="999" t="s">
        <v>4005</v>
      </c>
      <c r="J82" s="1000"/>
      <c r="K82" s="1000"/>
      <c r="L82" s="1001"/>
      <c r="M82" s="3">
        <v>3</v>
      </c>
      <c r="O82" s="96">
        <f>IF(OR(I82="Earth Craft Communities",I82="LEED-ND"),3,IF(OR(I82="Earth Craft House",I82="LEED for Homes",I82="EF Green Communities"),2,0))</f>
        <v>2</v>
      </c>
      <c r="P82" s="89"/>
      <c r="Q82" s="146" t="s">
        <v>651</v>
      </c>
    </row>
    <row r="83" spans="1:18" s="139" customFormat="1" ht="21" customHeight="1">
      <c r="A83" s="52"/>
      <c r="B83" s="1533" t="s">
        <v>2658</v>
      </c>
      <c r="C83" s="1534"/>
      <c r="D83" s="1534"/>
      <c r="E83" s="1534"/>
      <c r="F83" s="1534"/>
      <c r="G83" s="1534"/>
      <c r="H83" s="1534"/>
      <c r="I83" s="1534"/>
      <c r="J83" s="1534"/>
      <c r="K83" s="1534"/>
      <c r="L83" s="1534"/>
      <c r="M83" s="1534"/>
      <c r="N83" s="1"/>
      <c r="O83" s="797" t="s">
        <v>3928</v>
      </c>
      <c r="P83" s="551"/>
    </row>
    <row r="84" spans="1:18" s="598" customFormat="1" ht="34.9" customHeight="1">
      <c r="B84" s="194" t="s">
        <v>3060</v>
      </c>
      <c r="C84" s="1535" t="s">
        <v>1569</v>
      </c>
      <c r="D84" s="1429"/>
      <c r="E84" s="1429"/>
      <c r="F84" s="1429"/>
      <c r="G84" s="1429"/>
      <c r="H84" s="1429"/>
      <c r="I84" s="1429"/>
      <c r="J84" s="1429"/>
      <c r="K84" s="1429"/>
      <c r="L84" s="1429"/>
      <c r="M84" s="698" t="str">
        <f>IF(AND($I$93="Stable Communities &lt; 10%",O84=""), "X","")</f>
        <v/>
      </c>
      <c r="N84" s="221" t="s">
        <v>3060</v>
      </c>
      <c r="O84" s="798" t="s">
        <v>3984</v>
      </c>
      <c r="P84" s="703"/>
    </row>
    <row r="85" spans="1:18" s="598" customFormat="1" ht="34.9" customHeight="1">
      <c r="B85" s="194" t="s">
        <v>3063</v>
      </c>
      <c r="C85" s="1424" t="s">
        <v>1570</v>
      </c>
      <c r="D85" s="1429"/>
      <c r="E85" s="1429"/>
      <c r="F85" s="1429"/>
      <c r="G85" s="1429"/>
      <c r="H85" s="1429"/>
      <c r="I85" s="1429"/>
      <c r="J85" s="1429"/>
      <c r="K85" s="1429"/>
      <c r="L85" s="1429"/>
      <c r="M85" s="698" t="str">
        <f>IF(AND($I$93="Stable Communities &lt; 10%",O85=""), "X","")</f>
        <v/>
      </c>
      <c r="N85" s="221" t="s">
        <v>3063</v>
      </c>
      <c r="O85" s="799" t="s">
        <v>3984</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502" t="s">
        <v>4046</v>
      </c>
      <c r="B87" s="1503"/>
      <c r="C87" s="1503"/>
      <c r="D87" s="1503"/>
      <c r="E87" s="1503"/>
      <c r="F87" s="1503"/>
      <c r="G87" s="1503"/>
      <c r="H87" s="1503"/>
      <c r="I87" s="1503"/>
      <c r="J87" s="1503"/>
      <c r="K87" s="1503"/>
      <c r="L87" s="1503"/>
      <c r="M87" s="1503"/>
      <c r="N87" s="1503"/>
      <c r="O87" s="1503"/>
      <c r="P87" s="1504"/>
    </row>
    <row r="88" spans="1:18" s="53" customFormat="1" ht="22.9" customHeight="1">
      <c r="A88" s="1512"/>
      <c r="B88" s="1513"/>
      <c r="C88" s="1513"/>
      <c r="D88" s="1513"/>
      <c r="E88" s="1513"/>
      <c r="F88" s="1513"/>
      <c r="G88" s="1513"/>
      <c r="H88" s="1513"/>
      <c r="I88" s="1513"/>
      <c r="J88" s="1513"/>
      <c r="K88" s="1513"/>
      <c r="L88" s="1513"/>
      <c r="M88" s="1513"/>
      <c r="N88" s="1513"/>
      <c r="O88" s="1513"/>
      <c r="P88" s="1514"/>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518"/>
      <c r="B90" s="1519"/>
      <c r="C90" s="1519"/>
      <c r="D90" s="1519"/>
      <c r="E90" s="1519"/>
      <c r="F90" s="1519"/>
      <c r="G90" s="1519"/>
      <c r="H90" s="1519"/>
      <c r="I90" s="1519"/>
      <c r="J90" s="1519"/>
      <c r="K90" s="1519"/>
      <c r="L90" s="1519"/>
      <c r="M90" s="1519"/>
      <c r="N90" s="1519"/>
      <c r="O90" s="1519"/>
      <c r="P90" s="1520"/>
    </row>
    <row r="91" spans="1:18" s="53" customFormat="1" ht="24.6" customHeight="1">
      <c r="A91" s="1515"/>
      <c r="B91" s="1516"/>
      <c r="C91" s="1516"/>
      <c r="D91" s="1516"/>
      <c r="E91" s="1516"/>
      <c r="F91" s="1516"/>
      <c r="G91" s="1516"/>
      <c r="H91" s="1516"/>
      <c r="I91" s="1516"/>
      <c r="J91" s="1516"/>
      <c r="K91" s="1516"/>
      <c r="L91" s="1516"/>
      <c r="M91" s="1516"/>
      <c r="N91" s="1516"/>
      <c r="O91" s="1516"/>
      <c r="P91" s="151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3641</v>
      </c>
      <c r="C93" s="126"/>
      <c r="D93" s="74"/>
      <c r="E93" s="74"/>
      <c r="I93" s="999" t="s">
        <v>4006</v>
      </c>
      <c r="J93" s="1000"/>
      <c r="K93" s="1000"/>
      <c r="L93" s="1001"/>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532" t="s">
        <v>508</v>
      </c>
      <c r="B94" s="1532"/>
      <c r="C94" s="1532"/>
      <c r="D94" s="1532"/>
      <c r="E94" s="1532"/>
      <c r="F94" s="1532"/>
      <c r="G94" s="1532"/>
      <c r="H94" s="1532"/>
      <c r="I94" s="1532"/>
      <c r="J94" s="1532"/>
      <c r="K94" s="1532"/>
      <c r="L94" s="1532"/>
      <c r="M94" s="1532"/>
      <c r="N94" s="1532"/>
      <c r="O94" s="1532"/>
      <c r="P94" s="1532"/>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867</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800"/>
      <c r="P97" s="354"/>
    </row>
    <row r="98" spans="1:16" ht="11.45" customHeight="1">
      <c r="B98" s="233" t="s">
        <v>3683</v>
      </c>
      <c r="C98" s="585" t="s">
        <v>3624</v>
      </c>
      <c r="E98" s="159"/>
      <c r="G98" s="137" t="s">
        <v>3625</v>
      </c>
      <c r="M98" s="590" t="str">
        <f>IF(AND($I$93="Stable Communities &lt; 10%",O98=""), "X","")</f>
        <v/>
      </c>
      <c r="N98" s="233" t="s">
        <v>3683</v>
      </c>
      <c r="O98" s="797"/>
      <c r="P98" s="551"/>
    </row>
    <row r="99" spans="1:16" ht="11.45" customHeight="1">
      <c r="B99" s="233" t="s">
        <v>3684</v>
      </c>
      <c r="C99" s="585" t="s">
        <v>2190</v>
      </c>
      <c r="E99" s="159"/>
      <c r="M99" s="590" t="str">
        <f>IF(AND($I$93="Stable Communities &lt; 10%",O99=""), "X","")</f>
        <v/>
      </c>
      <c r="N99" s="233" t="s">
        <v>3686</v>
      </c>
      <c r="O99" s="801"/>
      <c r="P99" s="355"/>
    </row>
    <row r="100" spans="1:16" ht="11.45" customHeight="1">
      <c r="A100" s="564" t="str">
        <f>IF($I$93="Stable Communities &lt; 20%", "X","")</f>
        <v>X</v>
      </c>
      <c r="B100" s="565" t="s">
        <v>3066</v>
      </c>
      <c r="C100" s="235" t="s">
        <v>867</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800" t="s">
        <v>3928</v>
      </c>
      <c r="P101" s="354"/>
    </row>
    <row r="102" spans="1:16" ht="11.45" customHeight="1">
      <c r="B102" s="233" t="s">
        <v>3683</v>
      </c>
      <c r="C102" s="585" t="s">
        <v>3624</v>
      </c>
      <c r="E102" s="159"/>
      <c r="G102" s="137" t="s">
        <v>3625</v>
      </c>
      <c r="M102" s="590" t="str">
        <f>IF(AND($I$93="Stable Communities &lt; 20%",O102=""), "X","")</f>
        <v/>
      </c>
      <c r="N102" s="233" t="s">
        <v>3683</v>
      </c>
      <c r="O102" s="797" t="s">
        <v>3928</v>
      </c>
      <c r="P102" s="551"/>
    </row>
    <row r="103" spans="1:16" ht="11.45" customHeight="1">
      <c r="B103" s="233" t="s">
        <v>3684</v>
      </c>
      <c r="C103" s="585" t="s">
        <v>2190</v>
      </c>
      <c r="E103" s="159"/>
      <c r="M103" s="590" t="str">
        <f>IF(AND($I$93="Stable Communities &lt; 20%",O103=""), "X","")</f>
        <v/>
      </c>
      <c r="N103" s="233" t="s">
        <v>3686</v>
      </c>
      <c r="O103" s="801" t="s">
        <v>3928</v>
      </c>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913</v>
      </c>
      <c r="D106" s="137"/>
      <c r="M106" s="589" t="str">
        <f>IF(AND($I$93="HOPE VI Initiative",O106=""), "X","")</f>
        <v/>
      </c>
      <c r="N106" s="233" t="s">
        <v>3682</v>
      </c>
      <c r="O106" s="800"/>
      <c r="P106" s="354"/>
    </row>
    <row r="107" spans="1:16" ht="10.9" customHeight="1">
      <c r="B107" s="566" t="s">
        <v>3683</v>
      </c>
      <c r="C107" s="567" t="s">
        <v>914</v>
      </c>
      <c r="M107" s="589" t="str">
        <f>IF(AND($I$93="HOPE VI Initiative",O107=""), "X","")</f>
        <v/>
      </c>
      <c r="N107" s="233" t="s">
        <v>3683</v>
      </c>
      <c r="O107" s="797"/>
      <c r="P107" s="551"/>
    </row>
    <row r="108" spans="1:16" ht="10.9" customHeight="1">
      <c r="B108" s="566" t="s">
        <v>3684</v>
      </c>
      <c r="C108" s="567" t="s">
        <v>915</v>
      </c>
      <c r="M108" s="589" t="str">
        <f>IF(AND($I$93="HOPE VI Initiative",O108=""), "X","")</f>
        <v/>
      </c>
      <c r="N108" s="233" t="s">
        <v>3684</v>
      </c>
      <c r="O108" s="797"/>
      <c r="P108" s="551"/>
    </row>
    <row r="109" spans="1:16" ht="10.9" customHeight="1">
      <c r="B109" s="566" t="s">
        <v>3685</v>
      </c>
      <c r="C109" s="72" t="s">
        <v>916</v>
      </c>
      <c r="M109" s="589" t="str">
        <f>IF(AND($I$93="HOPE VI Initiative",O109=""), "X","")</f>
        <v/>
      </c>
      <c r="N109" s="233" t="s">
        <v>3685</v>
      </c>
      <c r="O109" s="801"/>
      <c r="P109" s="355"/>
    </row>
    <row r="110" spans="1:16" s="53" customFormat="1" ht="11.45" customHeight="1">
      <c r="A110" s="564"/>
      <c r="B110" s="565" t="s">
        <v>3066</v>
      </c>
      <c r="C110" s="153" t="s">
        <v>539</v>
      </c>
      <c r="D110" s="139"/>
      <c r="E110" s="50"/>
      <c r="G110" s="594" t="s">
        <v>920</v>
      </c>
      <c r="M110" s="70"/>
      <c r="N110" s="565" t="s">
        <v>3066</v>
      </c>
      <c r="O110" s="801"/>
      <c r="P110" s="355"/>
    </row>
    <row r="111" spans="1:16" s="53" customFormat="1" ht="11.45" customHeight="1">
      <c r="A111" s="564" t="str">
        <f>IF($I$93="Redevelopment Zone", "X","")</f>
        <v/>
      </c>
      <c r="B111" s="565" t="s">
        <v>3823</v>
      </c>
      <c r="C111" s="153" t="s">
        <v>540</v>
      </c>
      <c r="D111" s="139"/>
      <c r="F111" s="589"/>
      <c r="G111" s="50" t="s">
        <v>1650</v>
      </c>
      <c r="H111" s="802" t="s">
        <v>2800</v>
      </c>
      <c r="I111" s="161" t="s">
        <v>1562</v>
      </c>
      <c r="J111" s="1526"/>
      <c r="K111" s="1527"/>
      <c r="L111" s="1528"/>
      <c r="M111" s="70"/>
      <c r="N111" s="565" t="s">
        <v>3823</v>
      </c>
      <c r="O111" s="801"/>
      <c r="P111" s="355"/>
    </row>
    <row r="112" spans="1:16" s="53" customFormat="1" ht="11.45" customHeight="1">
      <c r="A112" s="564" t="str">
        <f>IF($I$93="Local Redevelopment Plan", "X","")</f>
        <v/>
      </c>
      <c r="B112" s="565" t="s">
        <v>1885</v>
      </c>
      <c r="C112" s="153" t="s">
        <v>917</v>
      </c>
      <c r="D112" s="139"/>
      <c r="E112" s="50"/>
      <c r="F112" s="589"/>
      <c r="G112" s="50" t="s">
        <v>636</v>
      </c>
      <c r="H112" s="1525"/>
      <c r="I112" s="972"/>
      <c r="J112" s="972"/>
      <c r="K112" s="972"/>
      <c r="L112" s="973"/>
      <c r="M112" s="70"/>
      <c r="N112" s="565" t="s">
        <v>1885</v>
      </c>
      <c r="O112" s="801"/>
      <c r="P112" s="355"/>
    </row>
    <row r="113" spans="1:16" ht="11.45" customHeight="1">
      <c r="B113" s="566" t="s">
        <v>3682</v>
      </c>
      <c r="C113" s="50" t="s">
        <v>921</v>
      </c>
      <c r="D113" s="137"/>
      <c r="G113" s="137" t="s">
        <v>919</v>
      </c>
      <c r="H113" s="803"/>
      <c r="M113" s="589" t="str">
        <f>IF(AND($I$93="Local Redevelopment Plan",O113=""), "X","")</f>
        <v/>
      </c>
      <c r="N113" s="566" t="s">
        <v>3682</v>
      </c>
      <c r="O113" s="800"/>
      <c r="P113" s="354"/>
    </row>
    <row r="114" spans="1:16" ht="10.9" customHeight="1">
      <c r="B114" s="566" t="s">
        <v>3683</v>
      </c>
      <c r="C114" s="567" t="s">
        <v>3711</v>
      </c>
      <c r="D114" s="137"/>
      <c r="M114" s="589"/>
      <c r="N114" s="566" t="s">
        <v>3683</v>
      </c>
      <c r="O114" s="804"/>
      <c r="P114" s="617"/>
    </row>
    <row r="115" spans="1:16" ht="10.9" customHeight="1">
      <c r="B115" s="566" t="s">
        <v>3684</v>
      </c>
      <c r="C115" s="567" t="s">
        <v>3712</v>
      </c>
      <c r="M115" s="589" t="str">
        <f t="shared" ref="M115:M124" si="0">IF(AND($I$93="Local Redevelopment Plan",O115=""), "X","")</f>
        <v/>
      </c>
      <c r="N115" s="566" t="s">
        <v>3684</v>
      </c>
      <c r="O115" s="797"/>
      <c r="P115" s="551"/>
    </row>
    <row r="116" spans="1:16" ht="10.9" customHeight="1">
      <c r="B116" s="566" t="s">
        <v>3685</v>
      </c>
      <c r="C116" s="567" t="s">
        <v>3713</v>
      </c>
      <c r="M116" s="589" t="str">
        <f t="shared" si="0"/>
        <v/>
      </c>
      <c r="N116" s="566" t="s">
        <v>3685</v>
      </c>
      <c r="O116" s="797"/>
      <c r="P116" s="551"/>
    </row>
    <row r="117" spans="1:16" ht="10.9" customHeight="1">
      <c r="B117" s="566" t="s">
        <v>3686</v>
      </c>
      <c r="C117" s="72" t="s">
        <v>3714</v>
      </c>
      <c r="M117" s="589" t="str">
        <f t="shared" si="0"/>
        <v/>
      </c>
      <c r="N117" s="566" t="s">
        <v>3686</v>
      </c>
      <c r="O117" s="797"/>
      <c r="P117" s="551"/>
    </row>
    <row r="118" spans="1:16" ht="10.9" customHeight="1">
      <c r="B118" s="566" t="s">
        <v>3709</v>
      </c>
      <c r="C118" s="567" t="s">
        <v>3715</v>
      </c>
      <c r="D118" s="137"/>
      <c r="M118" s="589" t="str">
        <f t="shared" si="0"/>
        <v/>
      </c>
      <c r="N118" s="566" t="s">
        <v>3709</v>
      </c>
      <c r="O118" s="797"/>
      <c r="P118" s="551"/>
    </row>
    <row r="119" spans="1:16" ht="10.9" customHeight="1">
      <c r="B119" s="566" t="s">
        <v>3710</v>
      </c>
      <c r="C119" s="567" t="s">
        <v>3716</v>
      </c>
      <c r="M119" s="589" t="str">
        <f t="shared" si="0"/>
        <v/>
      </c>
      <c r="N119" s="566" t="s">
        <v>3710</v>
      </c>
      <c r="O119" s="801"/>
      <c r="P119" s="355"/>
    </row>
    <row r="120" spans="1:16" ht="11.45" customHeight="1">
      <c r="A120" s="564" t="str">
        <f>IF($I$93="Stable Communities &lt; 20%", "X","")</f>
        <v>X</v>
      </c>
      <c r="B120" s="584" t="s">
        <v>3720</v>
      </c>
      <c r="E120" s="159"/>
      <c r="M120" s="591"/>
      <c r="N120" s="31"/>
      <c r="O120" s="161" t="s">
        <v>3795</v>
      </c>
      <c r="P120" s="161" t="s">
        <v>3795</v>
      </c>
    </row>
    <row r="121" spans="1:16" ht="10.9" customHeight="1">
      <c r="B121" s="566" t="s">
        <v>3717</v>
      </c>
      <c r="C121" s="567" t="s">
        <v>3721</v>
      </c>
      <c r="M121" s="589" t="str">
        <f t="shared" si="0"/>
        <v/>
      </c>
      <c r="N121" s="566" t="s">
        <v>3717</v>
      </c>
      <c r="O121" s="800"/>
      <c r="P121" s="354"/>
    </row>
    <row r="122" spans="1:16" ht="10.9" customHeight="1">
      <c r="B122" s="566" t="s">
        <v>3718</v>
      </c>
      <c r="C122" s="72" t="s">
        <v>3722</v>
      </c>
      <c r="M122" s="589" t="str">
        <f t="shared" si="0"/>
        <v/>
      </c>
      <c r="N122" s="566" t="s">
        <v>3718</v>
      </c>
      <c r="O122" s="797"/>
      <c r="P122" s="551"/>
    </row>
    <row r="123" spans="1:16" ht="10.9" customHeight="1">
      <c r="B123" s="566" t="s">
        <v>3719</v>
      </c>
      <c r="C123" s="567" t="s">
        <v>3723</v>
      </c>
      <c r="M123" s="589" t="str">
        <f t="shared" si="0"/>
        <v/>
      </c>
      <c r="N123" s="566" t="s">
        <v>3719</v>
      </c>
      <c r="O123" s="797"/>
      <c r="P123" s="551"/>
    </row>
    <row r="124" spans="1:16" ht="10.9" customHeight="1">
      <c r="B124" s="566" t="s">
        <v>918</v>
      </c>
      <c r="C124" s="72" t="s">
        <v>3724</v>
      </c>
      <c r="M124" s="589" t="str">
        <f t="shared" si="0"/>
        <v/>
      </c>
      <c r="N124" s="566" t="s">
        <v>918</v>
      </c>
      <c r="O124" s="801"/>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502" t="s">
        <v>4048</v>
      </c>
      <c r="B126" s="1503"/>
      <c r="C126" s="1503"/>
      <c r="D126" s="1503"/>
      <c r="E126" s="1503"/>
      <c r="F126" s="1503"/>
      <c r="G126" s="1503"/>
      <c r="H126" s="1503"/>
      <c r="I126" s="1503"/>
      <c r="J126" s="1503"/>
      <c r="K126" s="1503"/>
      <c r="L126" s="1503"/>
      <c r="M126" s="1503"/>
      <c r="N126" s="1503"/>
      <c r="O126" s="1503"/>
      <c r="P126" s="1504"/>
    </row>
    <row r="127" spans="1:16" s="53" customFormat="1" ht="23.45" customHeight="1">
      <c r="A127" s="1512"/>
      <c r="B127" s="1513"/>
      <c r="C127" s="1513"/>
      <c r="D127" s="1513"/>
      <c r="E127" s="1513"/>
      <c r="F127" s="1513"/>
      <c r="G127" s="1513"/>
      <c r="H127" s="1513"/>
      <c r="I127" s="1513"/>
      <c r="J127" s="1513"/>
      <c r="K127" s="1513"/>
      <c r="L127" s="1513"/>
      <c r="M127" s="1513"/>
      <c r="N127" s="1513"/>
      <c r="O127" s="1513"/>
      <c r="P127" s="1514"/>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518"/>
      <c r="B129" s="1519"/>
      <c r="C129" s="1519"/>
      <c r="D129" s="1519"/>
      <c r="E129" s="1519"/>
      <c r="F129" s="1519"/>
      <c r="G129" s="1519"/>
      <c r="H129" s="1519"/>
      <c r="I129" s="1519"/>
      <c r="J129" s="1519"/>
      <c r="K129" s="1519"/>
      <c r="L129" s="1519"/>
      <c r="M129" s="1519"/>
      <c r="N129" s="1519"/>
      <c r="O129" s="1519"/>
      <c r="P129" s="1520"/>
    </row>
    <row r="130" spans="1:17" s="53" customFormat="1" ht="23.45" customHeight="1">
      <c r="A130" s="1515"/>
      <c r="B130" s="1516"/>
      <c r="C130" s="1516"/>
      <c r="D130" s="1516"/>
      <c r="E130" s="1516"/>
      <c r="F130" s="1516"/>
      <c r="G130" s="1516"/>
      <c r="H130" s="1516"/>
      <c r="I130" s="1516"/>
      <c r="J130" s="1516"/>
      <c r="K130" s="1516"/>
      <c r="L130" s="1516"/>
      <c r="M130" s="1516"/>
      <c r="N130" s="1516"/>
      <c r="O130" s="1516"/>
      <c r="P130" s="1517"/>
    </row>
    <row r="131" spans="1:17" ht="3.6" customHeight="1">
      <c r="B131" s="159"/>
      <c r="C131" s="159"/>
      <c r="D131" s="159"/>
      <c r="E131" s="159"/>
    </row>
    <row r="132" spans="1:17" s="53" customFormat="1" ht="12" customHeight="1">
      <c r="A132" s="210" t="s">
        <v>279</v>
      </c>
      <c r="B132" s="142" t="s">
        <v>3725</v>
      </c>
      <c r="D132" s="51"/>
      <c r="E132" s="51"/>
      <c r="F132" s="51"/>
      <c r="H132" s="76"/>
      <c r="J132" s="76" t="s">
        <v>504</v>
      </c>
      <c r="K132" s="58"/>
      <c r="M132" s="3">
        <v>3</v>
      </c>
      <c r="N132" s="7"/>
      <c r="O132" s="96">
        <f>MIN($M132,(O133+O139))</f>
        <v>0</v>
      </c>
      <c r="P132" s="96">
        <f>MIN($M132,(P133+P139))</f>
        <v>0</v>
      </c>
      <c r="Q132" s="146" t="s">
        <v>651</v>
      </c>
    </row>
    <row r="133" spans="1:17" ht="12" customHeight="1">
      <c r="B133" s="737"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805">
        <v>0</v>
      </c>
      <c r="P133" s="696"/>
    </row>
    <row r="134" spans="1:17" s="137" customFormat="1" ht="22.9" customHeight="1">
      <c r="B134" s="596" t="s">
        <v>3064</v>
      </c>
      <c r="C134" s="1524" t="s">
        <v>1564</v>
      </c>
      <c r="D134" s="1429"/>
      <c r="E134" s="1429"/>
      <c r="F134" s="1429"/>
      <c r="G134" s="1429"/>
      <c r="H134" s="1429"/>
      <c r="I134" s="1429"/>
      <c r="J134" s="1429"/>
      <c r="K134" s="1429"/>
      <c r="L134" s="1429"/>
      <c r="M134" s="695"/>
      <c r="N134" s="596" t="s">
        <v>3064</v>
      </c>
      <c r="O134" s="796"/>
      <c r="P134" s="234"/>
    </row>
    <row r="135" spans="1:17" s="137" customFormat="1" ht="11.45" customHeight="1">
      <c r="B135" s="252"/>
      <c r="C135" s="160" t="s">
        <v>1565</v>
      </c>
      <c r="H135" s="137" t="s">
        <v>1563</v>
      </c>
      <c r="I135" s="806"/>
      <c r="J135" s="137" t="s">
        <v>951</v>
      </c>
      <c r="K135" s="1521"/>
      <c r="L135" s="1522"/>
      <c r="M135" s="1523"/>
    </row>
    <row r="136" spans="1:17" s="137" customFormat="1" ht="11.45" customHeight="1">
      <c r="B136" s="252" t="s">
        <v>3066</v>
      </c>
      <c r="C136" s="160" t="s">
        <v>1566</v>
      </c>
      <c r="M136" s="8"/>
      <c r="N136" s="252" t="s">
        <v>3066</v>
      </c>
      <c r="O136" s="800"/>
      <c r="P136" s="354"/>
    </row>
    <row r="137" spans="1:17" s="137" customFormat="1" ht="11.45" customHeight="1">
      <c r="B137" s="252" t="s">
        <v>3823</v>
      </c>
      <c r="C137" s="160" t="s">
        <v>1567</v>
      </c>
      <c r="M137" s="8"/>
      <c r="N137" s="252" t="s">
        <v>3823</v>
      </c>
      <c r="O137" s="797"/>
      <c r="P137" s="551"/>
    </row>
    <row r="138" spans="1:17" s="137" customFormat="1" ht="11.45" customHeight="1">
      <c r="B138" s="252" t="s">
        <v>1885</v>
      </c>
      <c r="C138" s="160" t="s">
        <v>1568</v>
      </c>
      <c r="M138" s="8"/>
      <c r="N138" s="252" t="s">
        <v>1885</v>
      </c>
      <c r="O138" s="801"/>
      <c r="P138" s="355"/>
    </row>
    <row r="139" spans="1:17" ht="12" customHeight="1">
      <c r="A139" s="256" t="s">
        <v>2055</v>
      </c>
      <c r="B139" s="737" t="s">
        <v>3063</v>
      </c>
      <c r="C139" s="256" t="s">
        <v>3359</v>
      </c>
      <c r="D139" s="159"/>
      <c r="E139" s="159"/>
      <c r="M139" s="3">
        <v>3</v>
      </c>
      <c r="N139" s="62" t="s">
        <v>3063</v>
      </c>
      <c r="O139" s="697">
        <f>IF($M140=4,3,IF($M140=3,2,IF($M140=2,1,0)))</f>
        <v>0</v>
      </c>
      <c r="P139" s="697">
        <f>IF($M140=4,3,IF($M140=3,2,IF($M140=2,1,0)))</f>
        <v>0</v>
      </c>
    </row>
    <row r="140" spans="1:17" ht="12" customHeight="1">
      <c r="B140" s="125"/>
      <c r="D140" s="42"/>
      <c r="E140" s="42"/>
      <c r="F140" s="42"/>
      <c r="G140" s="50"/>
      <c r="H140" s="50"/>
      <c r="I140" s="50"/>
      <c r="J140" s="50"/>
      <c r="L140" s="592" t="s">
        <v>734</v>
      </c>
      <c r="M140" s="796" t="s">
        <v>259</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421"/>
      <c r="B142" s="1433"/>
      <c r="C142" s="1433"/>
      <c r="D142" s="1433"/>
      <c r="E142" s="1433"/>
      <c r="F142" s="1433"/>
      <c r="G142" s="1433"/>
      <c r="H142" s="1433"/>
      <c r="I142" s="1433"/>
      <c r="J142" s="1433"/>
      <c r="K142" s="1433"/>
      <c r="L142" s="1433"/>
      <c r="M142" s="1433"/>
      <c r="N142" s="1433"/>
      <c r="O142" s="1433"/>
      <c r="P142" s="1434"/>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1411"/>
      <c r="B144" s="1412"/>
      <c r="C144" s="1412"/>
      <c r="D144" s="1412"/>
      <c r="E144" s="1412"/>
      <c r="F144" s="1412"/>
      <c r="G144" s="1412"/>
      <c r="H144" s="1412"/>
      <c r="I144" s="1412"/>
      <c r="J144" s="1412"/>
      <c r="K144" s="1412"/>
      <c r="L144" s="1412"/>
      <c r="M144" s="1412"/>
      <c r="N144" s="1412"/>
      <c r="O144" s="1412"/>
      <c r="P144" s="1413"/>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795">
        <v>2</v>
      </c>
      <c r="P146" s="89"/>
      <c r="Q146" s="146" t="s">
        <v>651</v>
      </c>
    </row>
    <row r="147" spans="1:17" ht="11.45" customHeight="1">
      <c r="B147" s="235" t="s">
        <v>2666</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559" t="s">
        <v>3728</v>
      </c>
      <c r="C149" s="1429"/>
      <c r="D149" s="1429"/>
      <c r="E149" s="1429"/>
      <c r="F149" s="1429"/>
      <c r="G149" s="1429"/>
      <c r="H149" s="1429"/>
      <c r="I149" s="1429"/>
      <c r="J149" s="1429"/>
      <c r="K149" s="1429"/>
      <c r="L149" s="1429"/>
      <c r="M149" s="1429"/>
      <c r="N149" s="1429"/>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559" t="s">
        <v>3341</v>
      </c>
      <c r="C152" s="1429"/>
      <c r="D152" s="1429"/>
      <c r="E152" s="1429"/>
      <c r="F152" s="1429"/>
      <c r="G152" s="1429"/>
      <c r="H152" s="1429"/>
      <c r="I152" s="1429"/>
      <c r="J152" s="1429"/>
      <c r="K152" s="1429"/>
      <c r="L152" s="1429"/>
      <c r="M152" s="1429"/>
      <c r="N152" s="1429"/>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2667</v>
      </c>
      <c r="M154" s="589"/>
      <c r="N154" s="566"/>
      <c r="O154" s="566" t="s">
        <v>3710</v>
      </c>
      <c r="P154" s="551"/>
    </row>
    <row r="155" spans="1:17" ht="11.45" customHeight="1">
      <c r="A155" s="566" t="s">
        <v>3717</v>
      </c>
      <c r="B155" s="72" t="s">
        <v>2668</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390" t="s">
        <v>4049</v>
      </c>
      <c r="B157" s="1391"/>
      <c r="C157" s="1391"/>
      <c r="D157" s="1391"/>
      <c r="E157" s="1391"/>
      <c r="F157" s="1391"/>
      <c r="G157" s="1391"/>
      <c r="H157" s="1391"/>
      <c r="I157" s="1391"/>
      <c r="J157" s="1391"/>
      <c r="K157" s="1391"/>
      <c r="L157" s="1391"/>
      <c r="M157" s="1391"/>
      <c r="N157" s="1391"/>
      <c r="O157" s="1391"/>
      <c r="P157" s="1392"/>
    </row>
    <row r="158" spans="1:17" s="53" customFormat="1" ht="24.6" customHeight="1">
      <c r="A158" s="1393"/>
      <c r="B158" s="1394"/>
      <c r="C158" s="1394"/>
      <c r="D158" s="1394"/>
      <c r="E158" s="1394"/>
      <c r="F158" s="1394"/>
      <c r="G158" s="1394"/>
      <c r="H158" s="1394"/>
      <c r="I158" s="1394"/>
      <c r="J158" s="1394"/>
      <c r="K158" s="1394"/>
      <c r="L158" s="1394"/>
      <c r="M158" s="1394"/>
      <c r="N158" s="1394"/>
      <c r="O158" s="1394"/>
      <c r="P158" s="1395"/>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1396"/>
      <c r="B160" s="1397"/>
      <c r="C160" s="1397"/>
      <c r="D160" s="1397"/>
      <c r="E160" s="1397"/>
      <c r="F160" s="1397"/>
      <c r="G160" s="1397"/>
      <c r="H160" s="1397"/>
      <c r="I160" s="1397"/>
      <c r="J160" s="1397"/>
      <c r="K160" s="1397"/>
      <c r="L160" s="1397"/>
      <c r="M160" s="1397"/>
      <c r="N160" s="1397"/>
      <c r="O160" s="1397"/>
      <c r="P160" s="1398"/>
    </row>
    <row r="161" spans="1:18" s="53" customFormat="1" ht="24" customHeight="1">
      <c r="A161" s="1442"/>
      <c r="B161" s="1443"/>
      <c r="C161" s="1443"/>
      <c r="D161" s="1443"/>
      <c r="E161" s="1443"/>
      <c r="F161" s="1443"/>
      <c r="G161" s="1443"/>
      <c r="H161" s="1443"/>
      <c r="I161" s="1443"/>
      <c r="J161" s="1443"/>
      <c r="K161" s="1443"/>
      <c r="L161" s="1443"/>
      <c r="M161" s="1443"/>
      <c r="N161" s="1443"/>
      <c r="O161" s="1443"/>
      <c r="P161" s="1444"/>
    </row>
    <row r="162" spans="1:18" s="53" customFormat="1" ht="24" customHeight="1">
      <c r="A162" s="1442"/>
      <c r="B162" s="1443"/>
      <c r="C162" s="1443"/>
      <c r="D162" s="1443"/>
      <c r="E162" s="1443"/>
      <c r="F162" s="1443"/>
      <c r="G162" s="1443"/>
      <c r="H162" s="1443"/>
      <c r="I162" s="1443"/>
      <c r="J162" s="1443"/>
      <c r="K162" s="1443"/>
      <c r="L162" s="1443"/>
      <c r="M162" s="1443"/>
      <c r="N162" s="1443"/>
      <c r="O162" s="1443"/>
      <c r="P162" s="1444"/>
    </row>
    <row r="163" spans="1:18" s="53" customFormat="1" ht="24" customHeight="1">
      <c r="A163" s="1442"/>
      <c r="B163" s="1443"/>
      <c r="C163" s="1443"/>
      <c r="D163" s="1443"/>
      <c r="E163" s="1443"/>
      <c r="F163" s="1443"/>
      <c r="G163" s="1443"/>
      <c r="H163" s="1443"/>
      <c r="I163" s="1443"/>
      <c r="J163" s="1443"/>
      <c r="K163" s="1443"/>
      <c r="L163" s="1443"/>
      <c r="M163" s="1443"/>
      <c r="N163" s="1443"/>
      <c r="O163" s="1443"/>
      <c r="P163" s="1444"/>
    </row>
    <row r="164" spans="1:18" s="53" customFormat="1" ht="24" customHeight="1">
      <c r="A164" s="1408"/>
      <c r="B164" s="1409"/>
      <c r="C164" s="1409"/>
      <c r="D164" s="1409"/>
      <c r="E164" s="1409"/>
      <c r="F164" s="1409"/>
      <c r="G164" s="1409"/>
      <c r="H164" s="1409"/>
      <c r="I164" s="1409"/>
      <c r="J164" s="1409"/>
      <c r="K164" s="1409"/>
      <c r="L164" s="1409"/>
      <c r="M164" s="1409"/>
      <c r="N164" s="1409"/>
      <c r="O164" s="1409"/>
      <c r="P164" s="1410"/>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3060</v>
      </c>
      <c r="C167" s="238" t="s">
        <v>3361</v>
      </c>
      <c r="D167" s="76"/>
      <c r="E167" s="76"/>
      <c r="G167" s="31"/>
      <c r="K167" s="62" t="s">
        <v>2215</v>
      </c>
      <c r="L167" s="796" t="s">
        <v>3928</v>
      </c>
      <c r="M167" s="8">
        <v>1</v>
      </c>
      <c r="N167" s="62" t="s">
        <v>3060</v>
      </c>
      <c r="O167" s="795">
        <v>1</v>
      </c>
      <c r="P167" s="89"/>
      <c r="Q167" s="146"/>
      <c r="R167" s="573" t="str">
        <f>IF(OR($O167=$M167,$O167=0,$O167=""),"","* * Check Score! * *")</f>
        <v/>
      </c>
    </row>
    <row r="168" spans="1:18" s="53" customFormat="1" ht="12" customHeight="1">
      <c r="B168" s="737" t="s">
        <v>3063</v>
      </c>
      <c r="C168" s="238" t="s">
        <v>3362</v>
      </c>
      <c r="D168" s="72"/>
      <c r="E168" s="40"/>
      <c r="F168" s="72"/>
      <c r="K168" s="65"/>
      <c r="L168" s="573" t="str">
        <f>IF(OR($O168=$M168,$O168=0,$O168=""),"","* * Check Score! * *")</f>
        <v/>
      </c>
      <c r="M168" s="8">
        <v>1</v>
      </c>
      <c r="N168" s="62" t="s">
        <v>3063</v>
      </c>
      <c r="O168" s="795">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421"/>
      <c r="B170" s="1433"/>
      <c r="C170" s="1433"/>
      <c r="D170" s="1433"/>
      <c r="E170" s="1433"/>
      <c r="F170" s="1433"/>
      <c r="G170" s="1433"/>
      <c r="H170" s="1433"/>
      <c r="I170" s="1433"/>
      <c r="J170" s="1433"/>
      <c r="K170" s="1433"/>
      <c r="L170" s="1433"/>
      <c r="M170" s="1433"/>
      <c r="N170" s="1433"/>
      <c r="O170" s="1433"/>
      <c r="P170" s="1434"/>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1396"/>
      <c r="B172" s="1397"/>
      <c r="C172" s="1397"/>
      <c r="D172" s="1397"/>
      <c r="E172" s="1397"/>
      <c r="F172" s="1397"/>
      <c r="G172" s="1397"/>
      <c r="H172" s="1397"/>
      <c r="I172" s="1397"/>
      <c r="J172" s="1397"/>
      <c r="K172" s="1397"/>
      <c r="L172" s="1397"/>
      <c r="M172" s="1397"/>
      <c r="N172" s="1397"/>
      <c r="O172" s="1397"/>
      <c r="P172" s="1398"/>
    </row>
    <row r="173" spans="1:18" s="53" customFormat="1" ht="12.6" customHeight="1">
      <c r="A173" s="1408"/>
      <c r="B173" s="1409"/>
      <c r="C173" s="1409"/>
      <c r="D173" s="1409"/>
      <c r="E173" s="1409"/>
      <c r="F173" s="1409"/>
      <c r="G173" s="1409"/>
      <c r="H173" s="1409"/>
      <c r="I173" s="1409"/>
      <c r="J173" s="1409"/>
      <c r="K173" s="1409"/>
      <c r="L173" s="1409"/>
      <c r="M173" s="1409"/>
      <c r="N173" s="1409"/>
      <c r="O173" s="1409"/>
      <c r="P173" s="1410"/>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537" t="s">
        <v>190</v>
      </c>
      <c r="D177" s="1213"/>
      <c r="E177" s="1213"/>
      <c r="F177" s="1213"/>
      <c r="G177" s="1213"/>
      <c r="H177" s="1213"/>
      <c r="I177" s="1213"/>
      <c r="J177" s="1213"/>
      <c r="K177" s="1213"/>
      <c r="L177" s="1213"/>
      <c r="M177" s="3"/>
      <c r="N177" s="83"/>
      <c r="O177" s="795"/>
      <c r="P177" s="89"/>
      <c r="Q177" s="146"/>
    </row>
    <row r="178" spans="1:18" s="692" customFormat="1" ht="35.450000000000003" customHeight="1">
      <c r="A178" s="691" t="str">
        <f>IF($I$93="HOPE VI Initiative", "X","")</f>
        <v/>
      </c>
      <c r="B178" s="693" t="s">
        <v>3064</v>
      </c>
      <c r="C178" s="1537" t="s">
        <v>189</v>
      </c>
      <c r="D178" s="1537"/>
      <c r="E178" s="1537"/>
      <c r="F178" s="1537"/>
      <c r="G178" s="1537"/>
      <c r="H178" s="1537"/>
      <c r="I178" s="1537"/>
      <c r="J178" s="1537"/>
      <c r="K178" s="1537"/>
      <c r="L178" s="1537"/>
      <c r="M178" s="694">
        <v>3</v>
      </c>
    </row>
    <row r="179" spans="1:18" s="692" customFormat="1" ht="26.45" customHeight="1">
      <c r="A179" s="691" t="str">
        <f>IF($I$93="HOPE VI Initiative", "X","")</f>
        <v/>
      </c>
      <c r="B179" s="693" t="s">
        <v>3066</v>
      </c>
      <c r="C179" s="1537" t="s">
        <v>2902</v>
      </c>
      <c r="D179" s="1537"/>
      <c r="E179" s="1537"/>
      <c r="F179" s="1537"/>
      <c r="G179" s="1537"/>
      <c r="H179" s="1537"/>
      <c r="I179" s="1537"/>
      <c r="J179" s="1537"/>
      <c r="K179" s="1537"/>
      <c r="L179" s="1537"/>
      <c r="M179" s="694">
        <v>1</v>
      </c>
    </row>
    <row r="180" spans="1:18" ht="12" customHeight="1">
      <c r="B180" s="737" t="s">
        <v>3063</v>
      </c>
      <c r="C180" s="238" t="s">
        <v>2669</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2671</v>
      </c>
      <c r="L181" s="573"/>
      <c r="M181" s="8">
        <v>6</v>
      </c>
      <c r="N181" s="252" t="s">
        <v>3064</v>
      </c>
      <c r="O181" s="795"/>
      <c r="P181" s="89"/>
    </row>
    <row r="182" spans="1:18" s="137" customFormat="1" ht="11.45" customHeight="1">
      <c r="B182" s="252" t="s">
        <v>3066</v>
      </c>
      <c r="C182" s="160" t="s">
        <v>2672</v>
      </c>
      <c r="L182" s="573" t="str">
        <f>IF(OR($O182=$M182,$O182=0,$O182=""),"","* * Check Score! * *")</f>
        <v/>
      </c>
      <c r="M182" s="8">
        <v>2</v>
      </c>
      <c r="N182" s="252" t="s">
        <v>3066</v>
      </c>
      <c r="O182" s="795"/>
      <c r="P182" s="89"/>
    </row>
    <row r="183" spans="1:18" s="137" customFormat="1" ht="11.45" customHeight="1">
      <c r="B183" s="252" t="s">
        <v>3823</v>
      </c>
      <c r="C183" s="160" t="s">
        <v>2670</v>
      </c>
      <c r="L183" s="573" t="str">
        <f>IF(OR($O183=$M183,$O183=0,$O183=""),"","* * Check Score! * *")</f>
        <v/>
      </c>
      <c r="M183" s="8">
        <v>2</v>
      </c>
      <c r="N183" s="252" t="s">
        <v>3823</v>
      </c>
      <c r="O183" s="795"/>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390"/>
      <c r="B185" s="1391"/>
      <c r="C185" s="1391"/>
      <c r="D185" s="1391"/>
      <c r="E185" s="1391"/>
      <c r="F185" s="1391"/>
      <c r="G185" s="1391"/>
      <c r="H185" s="1391"/>
      <c r="I185" s="1391"/>
      <c r="J185" s="1391"/>
      <c r="K185" s="1391"/>
      <c r="L185" s="1391"/>
      <c r="M185" s="1391"/>
      <c r="N185" s="1391"/>
      <c r="O185" s="1391"/>
      <c r="P185" s="1392"/>
    </row>
    <row r="186" spans="1:18" s="53" customFormat="1" ht="25.15" customHeight="1">
      <c r="A186" s="1393"/>
      <c r="B186" s="1394"/>
      <c r="C186" s="1394"/>
      <c r="D186" s="1394"/>
      <c r="E186" s="1394"/>
      <c r="F186" s="1394"/>
      <c r="G186" s="1394"/>
      <c r="H186" s="1394"/>
      <c r="I186" s="1394"/>
      <c r="J186" s="1394"/>
      <c r="K186" s="1394"/>
      <c r="L186" s="1394"/>
      <c r="M186" s="1394"/>
      <c r="N186" s="1394"/>
      <c r="O186" s="1394"/>
      <c r="P186" s="1395"/>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1396"/>
      <c r="B188" s="1397"/>
      <c r="C188" s="1397"/>
      <c r="D188" s="1397"/>
      <c r="E188" s="1397"/>
      <c r="F188" s="1397"/>
      <c r="G188" s="1397"/>
      <c r="H188" s="1397"/>
      <c r="I188" s="1397"/>
      <c r="J188" s="1397"/>
      <c r="K188" s="1397"/>
      <c r="L188" s="1397"/>
      <c r="M188" s="1397"/>
      <c r="N188" s="1397"/>
      <c r="O188" s="1397"/>
      <c r="P188" s="1398"/>
    </row>
    <row r="189" spans="1:18" s="53" customFormat="1" ht="25.15" customHeight="1">
      <c r="A189" s="1408"/>
      <c r="B189" s="1409"/>
      <c r="C189" s="1409"/>
      <c r="D189" s="1409"/>
      <c r="E189" s="1409"/>
      <c r="F189" s="1409"/>
      <c r="G189" s="1409"/>
      <c r="H189" s="1409"/>
      <c r="I189" s="1409"/>
      <c r="J189" s="1409"/>
      <c r="K189" s="1409"/>
      <c r="L189" s="1409"/>
      <c r="M189" s="1409"/>
      <c r="N189" s="1409"/>
      <c r="O189" s="1409"/>
      <c r="P189" s="1410"/>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3060</v>
      </c>
      <c r="B192" s="398" t="s">
        <v>922</v>
      </c>
      <c r="D192" s="42"/>
      <c r="E192" s="42"/>
      <c r="F192" s="42"/>
      <c r="L192" s="573" t="str">
        <f>IF(OR($O192=$M192,$O192=0,$O192=""),"","* * Check Score! * *")</f>
        <v/>
      </c>
      <c r="M192" s="7">
        <v>3</v>
      </c>
      <c r="N192" s="62" t="s">
        <v>3060</v>
      </c>
      <c r="O192" s="795"/>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795"/>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421"/>
      <c r="B195" s="1433"/>
      <c r="C195" s="1433"/>
      <c r="D195" s="1433"/>
      <c r="E195" s="1433"/>
      <c r="F195" s="1433"/>
      <c r="G195" s="1433"/>
      <c r="H195" s="1433"/>
      <c r="I195" s="1433"/>
      <c r="J195" s="1433"/>
      <c r="K195" s="1433"/>
      <c r="L195" s="1433"/>
      <c r="M195" s="1433"/>
      <c r="N195" s="1433"/>
      <c r="O195" s="1433"/>
      <c r="P195" s="1434"/>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1411"/>
      <c r="B197" s="1412"/>
      <c r="C197" s="1412"/>
      <c r="D197" s="1412"/>
      <c r="E197" s="1412"/>
      <c r="F197" s="1412"/>
      <c r="G197" s="1412"/>
      <c r="H197" s="1412"/>
      <c r="I197" s="1412"/>
      <c r="J197" s="1412"/>
      <c r="K197" s="1412"/>
      <c r="L197" s="1412"/>
      <c r="M197" s="1412"/>
      <c r="N197" s="1412"/>
      <c r="O197" s="1412"/>
      <c r="P197" s="1413"/>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0</v>
      </c>
      <c r="P199" s="96">
        <f>MIN($M199,P201+P200)</f>
        <v>0</v>
      </c>
      <c r="Q199" s="146" t="s">
        <v>651</v>
      </c>
    </row>
    <row r="200" spans="1:18" s="53" customFormat="1" ht="12" customHeight="1">
      <c r="A200" s="189" t="s">
        <v>3060</v>
      </c>
      <c r="B200" s="147" t="s">
        <v>2674</v>
      </c>
      <c r="D200" s="42"/>
      <c r="E200" s="42"/>
      <c r="F200" s="42"/>
      <c r="L200" s="573" t="str">
        <f>IF(OR($O200=$M200,$O200=0,$O200=""),"","* * Check Score! * *")</f>
        <v/>
      </c>
      <c r="M200" s="7">
        <v>2</v>
      </c>
      <c r="N200" s="62" t="s">
        <v>3060</v>
      </c>
      <c r="O200" s="795"/>
      <c r="P200" s="89"/>
      <c r="Q200" s="146"/>
      <c r="R200" s="573" t="str">
        <f>IF(OR($O200=$M200,$O200=0,$O200=""),"","* * Check Score! * *")</f>
        <v/>
      </c>
    </row>
    <row r="201" spans="1:18" s="53" customFormat="1" ht="12" customHeight="1">
      <c r="A201" s="189" t="s">
        <v>3063</v>
      </c>
      <c r="B201" s="147" t="s">
        <v>2675</v>
      </c>
      <c r="D201" s="50"/>
      <c r="E201" s="50"/>
      <c r="F201" s="40"/>
      <c r="G201" s="139"/>
      <c r="H201" s="139"/>
      <c r="I201" s="139"/>
      <c r="J201" s="139"/>
      <c r="K201" s="139"/>
      <c r="L201" s="46"/>
      <c r="M201" s="7">
        <v>1</v>
      </c>
      <c r="N201" s="62" t="s">
        <v>3063</v>
      </c>
      <c r="O201" s="795"/>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421"/>
      <c r="B203" s="1433"/>
      <c r="C203" s="1433"/>
      <c r="D203" s="1433"/>
      <c r="E203" s="1433"/>
      <c r="F203" s="1433"/>
      <c r="G203" s="1433"/>
      <c r="H203" s="1433"/>
      <c r="I203" s="1433"/>
      <c r="J203" s="1433"/>
      <c r="K203" s="1433"/>
      <c r="L203" s="1433"/>
      <c r="M203" s="1433"/>
      <c r="N203" s="1433"/>
      <c r="O203" s="1433"/>
      <c r="P203" s="1434"/>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1411"/>
      <c r="B205" s="1412"/>
      <c r="C205" s="1412"/>
      <c r="D205" s="1412"/>
      <c r="E205" s="1412"/>
      <c r="F205" s="1412"/>
      <c r="G205" s="1412"/>
      <c r="H205" s="1412"/>
      <c r="I205" s="1412"/>
      <c r="J205" s="1412"/>
      <c r="K205" s="1412"/>
      <c r="L205" s="1412"/>
      <c r="M205" s="1412"/>
      <c r="N205" s="1412"/>
      <c r="O205" s="1412"/>
      <c r="P205" s="1413"/>
    </row>
    <row r="206" spans="1:18" ht="6.6" customHeight="1"/>
    <row r="207" spans="1:18" s="78" customFormat="1" ht="12.6" customHeight="1">
      <c r="A207" s="210" t="s">
        <v>2676</v>
      </c>
      <c r="B207" s="142" t="s">
        <v>1037</v>
      </c>
      <c r="G207" s="158"/>
      <c r="H207" s="158"/>
      <c r="I207" s="158"/>
      <c r="J207" s="263" t="s">
        <v>3642</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544" t="s">
        <v>1571</v>
      </c>
      <c r="C208" s="947"/>
      <c r="D208" s="947"/>
      <c r="E208" s="947"/>
      <c r="F208" s="947"/>
      <c r="G208" s="947"/>
      <c r="H208" s="947"/>
      <c r="I208" s="947"/>
      <c r="J208" s="947"/>
      <c r="K208" s="947"/>
      <c r="L208" s="947"/>
      <c r="M208" s="947"/>
      <c r="N208" s="3"/>
      <c r="O208" s="3"/>
      <c r="P208" s="3"/>
      <c r="Q208" s="146"/>
      <c r="R208" s="573"/>
    </row>
    <row r="209" spans="1:18" s="690" customFormat="1" ht="12.6" customHeight="1">
      <c r="A209" s="699"/>
      <c r="C209" s="65" t="s">
        <v>951</v>
      </c>
      <c r="D209" s="1545"/>
      <c r="E209" s="1546"/>
      <c r="F209" s="1546"/>
      <c r="G209" s="1547"/>
      <c r="I209" s="702" t="s">
        <v>1572</v>
      </c>
      <c r="J209" s="796"/>
      <c r="L209" s="702" t="s">
        <v>1573</v>
      </c>
      <c r="M209" s="796"/>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421"/>
      <c r="B211" s="1433"/>
      <c r="C211" s="1433"/>
      <c r="D211" s="1433"/>
      <c r="E211" s="1433"/>
      <c r="F211" s="1433"/>
      <c r="G211" s="1433"/>
      <c r="H211" s="1433"/>
      <c r="I211" s="1434"/>
      <c r="J211" s="1411"/>
      <c r="K211" s="1412"/>
      <c r="L211" s="1412"/>
      <c r="M211" s="1412"/>
      <c r="N211" s="1412"/>
      <c r="O211" s="1412"/>
      <c r="P211" s="1413"/>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795"/>
      <c r="P213" s="89"/>
      <c r="Q213" s="146" t="s">
        <v>651</v>
      </c>
    </row>
    <row r="214" spans="1:18" s="53" customFormat="1" ht="12.6" customHeight="1">
      <c r="A214" s="52"/>
      <c r="B214" s="153" t="s">
        <v>2893</v>
      </c>
      <c r="D214" s="139"/>
      <c r="E214" s="1508" t="s">
        <v>2813</v>
      </c>
      <c r="F214" s="1509"/>
      <c r="G214" s="1510"/>
      <c r="H214" s="1511"/>
      <c r="I214" s="64" t="s">
        <v>2892</v>
      </c>
      <c r="O214" s="161" t="s">
        <v>3795</v>
      </c>
      <c r="P214" s="161" t="s">
        <v>3795</v>
      </c>
    </row>
    <row r="215" spans="1:18" s="137" customFormat="1" ht="11.45" customHeight="1">
      <c r="B215" s="566" t="s">
        <v>3682</v>
      </c>
      <c r="C215" s="160" t="s">
        <v>2679</v>
      </c>
      <c r="D215" s="160"/>
      <c r="E215" s="160"/>
      <c r="F215" s="160"/>
      <c r="G215" s="1505" t="s">
        <v>3809</v>
      </c>
      <c r="H215" s="1506"/>
      <c r="I215" s="1507"/>
      <c r="J215" s="1505" t="s">
        <v>1837</v>
      </c>
      <c r="K215" s="1506"/>
      <c r="L215" s="1507"/>
      <c r="N215" s="566" t="s">
        <v>3682</v>
      </c>
      <c r="O215" s="796"/>
      <c r="P215" s="234"/>
    </row>
    <row r="216" spans="1:18" s="137" customFormat="1" ht="11.45" customHeight="1">
      <c r="B216" s="566" t="s">
        <v>3683</v>
      </c>
      <c r="C216" s="160" t="s">
        <v>505</v>
      </c>
      <c r="D216" s="160"/>
      <c r="E216" s="160"/>
      <c r="F216" s="160"/>
      <c r="G216" s="160"/>
      <c r="L216" s="160"/>
      <c r="M216" s="160"/>
      <c r="N216" s="566" t="s">
        <v>3683</v>
      </c>
      <c r="O216" s="796"/>
      <c r="P216" s="234"/>
    </row>
    <row r="217" spans="1:18" s="137" customFormat="1" ht="11.45" customHeight="1">
      <c r="B217" s="566" t="s">
        <v>3684</v>
      </c>
      <c r="C217" s="160" t="s">
        <v>2624</v>
      </c>
      <c r="D217" s="160"/>
      <c r="E217" s="160"/>
      <c r="F217" s="160"/>
      <c r="G217" s="160"/>
      <c r="H217" s="160"/>
      <c r="L217" s="160"/>
      <c r="M217" s="160"/>
      <c r="N217" s="566" t="s">
        <v>3684</v>
      </c>
      <c r="O217" s="796"/>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79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390"/>
      <c r="B221" s="1391"/>
      <c r="C221" s="1391"/>
      <c r="D221" s="1391"/>
      <c r="E221" s="1391"/>
      <c r="F221" s="1391"/>
      <c r="G221" s="1391"/>
      <c r="H221" s="1391"/>
      <c r="I221" s="1391"/>
      <c r="J221" s="1391"/>
      <c r="K221" s="1391"/>
      <c r="L221" s="1391"/>
      <c r="M221" s="1391"/>
      <c r="N221" s="1391"/>
      <c r="O221" s="1391"/>
      <c r="P221" s="1392"/>
    </row>
    <row r="222" spans="1:18" s="53" customFormat="1" ht="25.15" customHeight="1">
      <c r="A222" s="1393"/>
      <c r="B222" s="1394"/>
      <c r="C222" s="1394"/>
      <c r="D222" s="1394"/>
      <c r="E222" s="1394"/>
      <c r="F222" s="1394"/>
      <c r="G222" s="1394"/>
      <c r="H222" s="1394"/>
      <c r="I222" s="1394"/>
      <c r="J222" s="1394"/>
      <c r="K222" s="1394"/>
      <c r="L222" s="1394"/>
      <c r="M222" s="1394"/>
      <c r="N222" s="1394"/>
      <c r="O222" s="1394"/>
      <c r="P222" s="1395"/>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1396"/>
      <c r="B224" s="1397"/>
      <c r="C224" s="1397"/>
      <c r="D224" s="1397"/>
      <c r="E224" s="1397"/>
      <c r="F224" s="1397"/>
      <c r="G224" s="1397"/>
      <c r="H224" s="1397"/>
      <c r="I224" s="1397"/>
      <c r="J224" s="1397"/>
      <c r="K224" s="1397"/>
      <c r="L224" s="1397"/>
      <c r="M224" s="1397"/>
      <c r="N224" s="1397"/>
      <c r="O224" s="1397"/>
      <c r="P224" s="1398"/>
    </row>
    <row r="225" spans="1:18" s="53" customFormat="1" ht="25.15" customHeight="1">
      <c r="A225" s="1408"/>
      <c r="B225" s="1409"/>
      <c r="C225" s="1409"/>
      <c r="D225" s="1409"/>
      <c r="E225" s="1409"/>
      <c r="F225" s="1409"/>
      <c r="G225" s="1409"/>
      <c r="H225" s="1409"/>
      <c r="I225" s="1409"/>
      <c r="J225" s="1409"/>
      <c r="K225" s="1409"/>
      <c r="L225" s="1409"/>
      <c r="M225" s="1409"/>
      <c r="N225" s="1409"/>
      <c r="O225" s="1409"/>
      <c r="P225" s="1410"/>
    </row>
    <row r="226" spans="1:18" ht="12.6" customHeight="1"/>
    <row r="227" spans="1:18" s="53" customFormat="1" ht="15">
      <c r="A227" s="210" t="s">
        <v>2680</v>
      </c>
      <c r="B227" s="152" t="s">
        <v>2894</v>
      </c>
      <c r="D227" s="120"/>
      <c r="E227" s="120"/>
      <c r="F227" s="65"/>
      <c r="G227" s="65"/>
      <c r="H227" s="65"/>
      <c r="I227" s="65"/>
      <c r="J227" s="67"/>
      <c r="K227" s="75"/>
      <c r="L227" s="71" t="str">
        <f>IF(M227&gt;14,"Over limit!","")</f>
        <v/>
      </c>
      <c r="M227" s="4">
        <v>8</v>
      </c>
      <c r="N227" s="7"/>
      <c r="O227" s="81">
        <f>MIN($M227,(O235+O245+O247))</f>
        <v>1</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869</v>
      </c>
      <c r="E229" s="120"/>
      <c r="F229" s="65"/>
      <c r="G229" s="65"/>
      <c r="H229" s="65"/>
      <c r="I229" s="65"/>
      <c r="J229" s="67"/>
      <c r="K229" s="75"/>
      <c r="L229" s="71" t="str">
        <f>IF(M229&gt;14,"Over limit!","")</f>
        <v/>
      </c>
      <c r="N229" s="252" t="s">
        <v>3064</v>
      </c>
      <c r="O229" s="796" t="s">
        <v>3928</v>
      </c>
      <c r="P229" s="234"/>
    </row>
    <row r="230" spans="1:18" s="137" customFormat="1" ht="12" customHeight="1">
      <c r="B230" s="252" t="s">
        <v>3066</v>
      </c>
      <c r="C230" s="137" t="s">
        <v>870</v>
      </c>
      <c r="N230" s="252" t="s">
        <v>3066</v>
      </c>
      <c r="O230" s="796" t="s">
        <v>3928</v>
      </c>
      <c r="P230" s="234"/>
    </row>
    <row r="231" spans="1:18" s="137" customFormat="1" ht="12" customHeight="1">
      <c r="B231" s="252" t="s">
        <v>3823</v>
      </c>
      <c r="C231" s="137" t="s">
        <v>871</v>
      </c>
      <c r="N231" s="252" t="s">
        <v>3823</v>
      </c>
      <c r="O231" s="796" t="s">
        <v>3928</v>
      </c>
      <c r="P231" s="234"/>
    </row>
    <row r="232" spans="1:18" s="137" customFormat="1" ht="12" customHeight="1">
      <c r="B232" s="252" t="s">
        <v>1885</v>
      </c>
      <c r="C232" s="137" t="s">
        <v>872</v>
      </c>
      <c r="N232" s="252" t="s">
        <v>1885</v>
      </c>
      <c r="O232" s="796" t="s">
        <v>3928</v>
      </c>
      <c r="P232" s="234"/>
    </row>
    <row r="233" spans="1:18" s="137" customFormat="1" ht="12" customHeight="1">
      <c r="B233" s="252" t="s">
        <v>1886</v>
      </c>
      <c r="C233" s="137" t="s">
        <v>884</v>
      </c>
      <c r="N233" s="252" t="s">
        <v>1886</v>
      </c>
      <c r="O233" s="796" t="s">
        <v>3928</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1</v>
      </c>
      <c r="P235" s="205">
        <f>MIN($M235,SUM(P236:P243))</f>
        <v>0</v>
      </c>
    </row>
    <row r="236" spans="1:18" s="53" customFormat="1" ht="12" customHeight="1">
      <c r="A236" s="253"/>
      <c r="B236" s="252" t="s">
        <v>3064</v>
      </c>
      <c r="C236" s="46" t="s">
        <v>2216</v>
      </c>
      <c r="H236" s="68" t="s">
        <v>2217</v>
      </c>
      <c r="K236" s="255"/>
      <c r="L236" s="573" t="str">
        <f t="shared" ref="L236:L243" si="1">IF(OR($O236=$M236,$O236=0,$O236=""),"","* * Check Score! * *")</f>
        <v/>
      </c>
      <c r="M236" s="7">
        <v>1</v>
      </c>
      <c r="N236" s="252" t="s">
        <v>3064</v>
      </c>
      <c r="O236" s="796"/>
      <c r="P236" s="89"/>
      <c r="R236" s="573" t="str">
        <f>IF(OR($O236=$M236,$O236=0,$O236=""),"","* * Check Score! * *")</f>
        <v/>
      </c>
    </row>
    <row r="237" spans="1:18" ht="12" customHeight="1">
      <c r="A237" s="254"/>
      <c r="B237" s="252" t="s">
        <v>3066</v>
      </c>
      <c r="C237" s="46" t="s">
        <v>2220</v>
      </c>
      <c r="H237" s="68" t="s">
        <v>2217</v>
      </c>
      <c r="L237" s="573" t="str">
        <f t="shared" si="1"/>
        <v/>
      </c>
      <c r="M237" s="7">
        <v>1</v>
      </c>
      <c r="N237" s="252" t="s">
        <v>3066</v>
      </c>
      <c r="O237" s="796"/>
      <c r="P237" s="89"/>
      <c r="R237" s="573" t="str">
        <f t="shared" ref="R237:R243" si="2">IF(OR($O237=$M237,$O237=0,$O237=""),"","* * Check Score! * *")</f>
        <v/>
      </c>
    </row>
    <row r="238" spans="1:18" ht="12" customHeight="1">
      <c r="B238" s="252" t="s">
        <v>3823</v>
      </c>
      <c r="C238" s="46" t="s">
        <v>2224</v>
      </c>
      <c r="H238" s="68" t="s">
        <v>2217</v>
      </c>
      <c r="L238" s="573" t="str">
        <f>IF(OR($O238=$M238,$O238=0,$O238=""),"","* * Check Score! * *")</f>
        <v/>
      </c>
      <c r="M238" s="7">
        <v>1</v>
      </c>
      <c r="N238" s="252" t="s">
        <v>3823</v>
      </c>
      <c r="O238" s="796">
        <v>1</v>
      </c>
      <c r="P238" s="89"/>
      <c r="R238" s="573" t="str">
        <f>IF(OR($O238=$M238,$O238=0,$O238=""),"","* * Check Score! * *")</f>
        <v/>
      </c>
    </row>
    <row r="239" spans="1:18" ht="12" customHeight="1">
      <c r="A239" s="254"/>
      <c r="B239" s="252" t="s">
        <v>1885</v>
      </c>
      <c r="C239" s="46" t="s">
        <v>873</v>
      </c>
      <c r="L239" s="573" t="str">
        <f t="shared" si="1"/>
        <v/>
      </c>
      <c r="M239" s="7">
        <v>1</v>
      </c>
      <c r="N239" s="252" t="s">
        <v>1885</v>
      </c>
      <c r="O239" s="79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796"/>
      <c r="P240" s="89"/>
      <c r="R240" s="573" t="str">
        <f t="shared" si="2"/>
        <v/>
      </c>
    </row>
    <row r="241" spans="1:18" ht="12" customHeight="1">
      <c r="A241" s="254"/>
      <c r="B241" s="252" t="s">
        <v>2943</v>
      </c>
      <c r="C241" s="46" t="s">
        <v>2222</v>
      </c>
      <c r="H241" s="68" t="s">
        <v>2218</v>
      </c>
      <c r="L241" s="573" t="str">
        <f t="shared" si="1"/>
        <v/>
      </c>
      <c r="M241" s="7">
        <v>2</v>
      </c>
      <c r="N241" s="252" t="s">
        <v>2943</v>
      </c>
      <c r="O241" s="796"/>
      <c r="P241" s="89"/>
      <c r="R241" s="573" t="str">
        <f t="shared" si="2"/>
        <v/>
      </c>
    </row>
    <row r="242" spans="1:18" ht="12" customHeight="1">
      <c r="A242" s="254"/>
      <c r="B242" s="252" t="s">
        <v>743</v>
      </c>
      <c r="C242" s="46" t="s">
        <v>2223</v>
      </c>
      <c r="H242" s="68" t="s">
        <v>2218</v>
      </c>
      <c r="L242" s="573" t="str">
        <f t="shared" si="1"/>
        <v/>
      </c>
      <c r="M242" s="7">
        <v>2</v>
      </c>
      <c r="N242" s="252" t="s">
        <v>743</v>
      </c>
      <c r="O242" s="796"/>
      <c r="P242" s="89"/>
      <c r="R242" s="573" t="str">
        <f t="shared" si="2"/>
        <v/>
      </c>
    </row>
    <row r="243" spans="1:18" ht="12" customHeight="1">
      <c r="A243" s="254"/>
      <c r="B243" s="252" t="s">
        <v>744</v>
      </c>
      <c r="C243" s="46" t="s">
        <v>2225</v>
      </c>
      <c r="H243" s="68" t="s">
        <v>2219</v>
      </c>
      <c r="L243" s="573" t="str">
        <f t="shared" si="1"/>
        <v/>
      </c>
      <c r="M243" s="7">
        <v>3</v>
      </c>
      <c r="N243" s="252" t="s">
        <v>744</v>
      </c>
      <c r="O243" s="79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79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796"/>
      <c r="P247" s="89"/>
      <c r="R247" s="573" t="str">
        <f>IF(OR($O247=$M247,$O247=0,$O247=""),"","* * Check Score! * *")</f>
        <v/>
      </c>
    </row>
    <row r="248" spans="1:18" s="53" customFormat="1" ht="12.6" customHeight="1">
      <c r="A248" s="253"/>
      <c r="B248" s="252" t="s">
        <v>3064</v>
      </c>
      <c r="C248" s="46" t="s">
        <v>983</v>
      </c>
      <c r="E248" s="1562"/>
      <c r="F248" s="1563"/>
      <c r="G248" s="1563"/>
      <c r="H248" s="1564"/>
      <c r="K248" s="255"/>
      <c r="M248" s="7"/>
      <c r="N248" s="7"/>
      <c r="O248" s="7"/>
      <c r="P248" s="7"/>
    </row>
    <row r="249" spans="1:18" ht="33" customHeight="1">
      <c r="A249" s="254"/>
      <c r="B249" s="596" t="s">
        <v>3066</v>
      </c>
      <c r="C249" s="597" t="s">
        <v>3561</v>
      </c>
      <c r="D249" s="598"/>
      <c r="E249" s="1540"/>
      <c r="F249" s="1541"/>
      <c r="G249" s="1541"/>
      <c r="H249" s="1541"/>
      <c r="I249" s="1541"/>
      <c r="J249" s="1541"/>
      <c r="K249" s="1541"/>
      <c r="L249" s="1541"/>
      <c r="M249" s="1541"/>
      <c r="N249" s="1541"/>
      <c r="O249" s="1541"/>
      <c r="P249" s="1542"/>
    </row>
    <row r="250" spans="1:18" ht="12.6" customHeight="1">
      <c r="B250" s="252" t="s">
        <v>3823</v>
      </c>
      <c r="C250" s="46" t="s">
        <v>984</v>
      </c>
      <c r="E250" s="1538"/>
      <c r="F250" s="1539"/>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390" t="s">
        <v>3980</v>
      </c>
      <c r="B253" s="1391"/>
      <c r="C253" s="1391"/>
      <c r="D253" s="1391"/>
      <c r="E253" s="1391"/>
      <c r="F253" s="1391"/>
      <c r="G253" s="1391"/>
      <c r="H253" s="1391"/>
      <c r="I253" s="1391"/>
      <c r="J253" s="1391"/>
      <c r="K253" s="1391"/>
      <c r="L253" s="1391"/>
      <c r="M253" s="1391"/>
      <c r="N253" s="1391"/>
      <c r="O253" s="1391"/>
      <c r="P253" s="1392"/>
    </row>
    <row r="254" spans="1:18" s="53" customFormat="1" ht="23.45" customHeight="1">
      <c r="A254" s="1393"/>
      <c r="B254" s="1394"/>
      <c r="C254" s="1394"/>
      <c r="D254" s="1394"/>
      <c r="E254" s="1394"/>
      <c r="F254" s="1394"/>
      <c r="G254" s="1394"/>
      <c r="H254" s="1394"/>
      <c r="I254" s="1394"/>
      <c r="J254" s="1394"/>
      <c r="K254" s="1394"/>
      <c r="L254" s="1394"/>
      <c r="M254" s="1394"/>
      <c r="N254" s="1394"/>
      <c r="O254" s="1394"/>
      <c r="P254" s="1395"/>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1396"/>
      <c r="B256" s="1397"/>
      <c r="C256" s="1397"/>
      <c r="D256" s="1397"/>
      <c r="E256" s="1397"/>
      <c r="F256" s="1397"/>
      <c r="G256" s="1397"/>
      <c r="H256" s="1397"/>
      <c r="I256" s="1397"/>
      <c r="J256" s="1397"/>
      <c r="K256" s="1397"/>
      <c r="L256" s="1397"/>
      <c r="M256" s="1397"/>
      <c r="N256" s="1397"/>
      <c r="O256" s="1397"/>
      <c r="P256" s="1398"/>
    </row>
    <row r="257" spans="1:18" s="53" customFormat="1" ht="23.45" customHeight="1">
      <c r="A257" s="1408"/>
      <c r="B257" s="1409"/>
      <c r="C257" s="1409"/>
      <c r="D257" s="1409"/>
      <c r="E257" s="1409"/>
      <c r="F257" s="1409"/>
      <c r="G257" s="1409"/>
      <c r="H257" s="1409"/>
      <c r="I257" s="1409"/>
      <c r="J257" s="1409"/>
      <c r="K257" s="1409"/>
      <c r="L257" s="1409"/>
      <c r="M257" s="1409"/>
      <c r="N257" s="1409"/>
      <c r="O257" s="1409"/>
      <c r="P257" s="1410"/>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796" t="s">
        <v>3928</v>
      </c>
      <c r="P260" s="234"/>
    </row>
    <row r="261" spans="1:18" s="53" customFormat="1" ht="24.6" customHeight="1">
      <c r="A261" s="52"/>
      <c r="B261" s="1543" t="s">
        <v>3918</v>
      </c>
      <c r="C261" s="1534"/>
      <c r="D261" s="1534"/>
      <c r="E261" s="1534"/>
      <c r="F261" s="1534"/>
      <c r="G261" s="1534"/>
      <c r="H261" s="1534"/>
      <c r="I261" s="1534"/>
      <c r="J261" s="1534"/>
      <c r="K261" s="1534"/>
      <c r="L261" s="1534"/>
      <c r="M261" s="56"/>
      <c r="N261" s="77"/>
      <c r="O261" s="796" t="s">
        <v>3928</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22.5" customHeight="1">
      <c r="A263" s="1390" t="s">
        <v>4071</v>
      </c>
      <c r="B263" s="1391"/>
      <c r="C263" s="1391"/>
      <c r="D263" s="1391"/>
      <c r="E263" s="1391"/>
      <c r="F263" s="1391"/>
      <c r="G263" s="1391"/>
      <c r="H263" s="1391"/>
      <c r="I263" s="1391"/>
      <c r="J263" s="1391"/>
      <c r="K263" s="1391"/>
      <c r="L263" s="1391"/>
      <c r="M263" s="1391"/>
      <c r="N263" s="1391"/>
      <c r="O263" s="1391"/>
      <c r="P263" s="1392"/>
    </row>
    <row r="264" spans="1:18" s="53" customFormat="1" ht="12" customHeight="1">
      <c r="A264" s="1393"/>
      <c r="B264" s="1394"/>
      <c r="C264" s="1394"/>
      <c r="D264" s="1394"/>
      <c r="E264" s="1394"/>
      <c r="F264" s="1394"/>
      <c r="G264" s="1394"/>
      <c r="H264" s="1394"/>
      <c r="I264" s="1394"/>
      <c r="J264" s="1394"/>
      <c r="K264" s="1394"/>
      <c r="L264" s="1394"/>
      <c r="M264" s="1394"/>
      <c r="N264" s="1394"/>
      <c r="O264" s="1394"/>
      <c r="P264" s="1395"/>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565"/>
      <c r="B266" s="1566"/>
      <c r="C266" s="1566"/>
      <c r="D266" s="1566"/>
      <c r="E266" s="1566"/>
      <c r="F266" s="1566"/>
      <c r="G266" s="1566"/>
      <c r="H266" s="1566"/>
      <c r="I266" s="1566"/>
      <c r="J266" s="1566"/>
      <c r="K266" s="1566"/>
      <c r="L266" s="1566"/>
      <c r="M266" s="1566"/>
      <c r="N266" s="1566"/>
      <c r="O266" s="1566"/>
      <c r="P266" s="1567"/>
    </row>
    <row r="267" spans="1:18" s="53" customFormat="1" ht="23.45" customHeight="1">
      <c r="A267" s="1442"/>
      <c r="B267" s="1443"/>
      <c r="C267" s="1443"/>
      <c r="D267" s="1443"/>
      <c r="E267" s="1443"/>
      <c r="F267" s="1443"/>
      <c r="G267" s="1443"/>
      <c r="H267" s="1443"/>
      <c r="I267" s="1443"/>
      <c r="J267" s="1443"/>
      <c r="K267" s="1443"/>
      <c r="L267" s="1443"/>
      <c r="M267" s="1443"/>
      <c r="N267" s="1443"/>
      <c r="O267" s="1443"/>
      <c r="P267" s="1444"/>
    </row>
    <row r="268" spans="1:18" s="53" customFormat="1" ht="23.45" customHeight="1">
      <c r="A268" s="1408"/>
      <c r="B268" s="1409"/>
      <c r="C268" s="1409"/>
      <c r="D268" s="1409"/>
      <c r="E268" s="1409"/>
      <c r="F268" s="1409"/>
      <c r="G268" s="1409"/>
      <c r="H268" s="1409"/>
      <c r="I268" s="1409"/>
      <c r="J268" s="1409"/>
      <c r="K268" s="1409"/>
      <c r="L268" s="1409"/>
      <c r="M268" s="1409"/>
      <c r="N268" s="1409"/>
      <c r="O268" s="1409"/>
      <c r="P268" s="1410"/>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3</v>
      </c>
      <c r="P270" s="96">
        <f>MIN($M270,P272+P271)</f>
        <v>0</v>
      </c>
      <c r="Q270" s="146" t="s">
        <v>651</v>
      </c>
    </row>
    <row r="271" spans="1:18" s="53" customFormat="1" ht="12" customHeight="1">
      <c r="A271" s="189" t="s">
        <v>3060</v>
      </c>
      <c r="B271" s="147" t="s">
        <v>2687</v>
      </c>
      <c r="D271" s="42"/>
      <c r="E271" s="42"/>
      <c r="F271" s="42"/>
      <c r="L271" s="573" t="str">
        <f>IF(OR($O271=$M271,$O271=0,$O271=""),"","* * Check Score! * *")</f>
        <v/>
      </c>
      <c r="M271" s="7">
        <v>3</v>
      </c>
      <c r="N271" s="62" t="s">
        <v>3060</v>
      </c>
      <c r="O271" s="795">
        <v>0</v>
      </c>
      <c r="P271" s="89"/>
      <c r="Q271" s="146"/>
      <c r="R271" s="573" t="str">
        <f>IF(OR($O271=$M271,$O271=0,$O271=""),"","* * Check Score! * *")</f>
        <v/>
      </c>
    </row>
    <row r="272" spans="1:18" s="53" customFormat="1" ht="12" customHeight="1">
      <c r="A272" s="189" t="s">
        <v>3063</v>
      </c>
      <c r="B272" s="147" t="s">
        <v>2688</v>
      </c>
      <c r="D272" s="50"/>
      <c r="E272" s="50"/>
      <c r="F272" s="40"/>
      <c r="G272" s="139"/>
      <c r="H272" s="139"/>
      <c r="I272" s="139"/>
      <c r="J272" s="139"/>
      <c r="K272" s="139"/>
      <c r="L272" s="46"/>
      <c r="M272" s="7">
        <v>3</v>
      </c>
      <c r="N272" s="62" t="s">
        <v>3063</v>
      </c>
      <c r="O272" s="795">
        <v>3</v>
      </c>
      <c r="P272" s="89"/>
      <c r="R272" s="573" t="str">
        <f>IF(OR($O272=$M272,$O272=0,$O272=""),"","* * Check Score! * *")</f>
        <v/>
      </c>
    </row>
    <row r="273" spans="1:18" s="53" customFormat="1" ht="22.9" customHeight="1">
      <c r="A273" s="189"/>
      <c r="B273" s="1536" t="s">
        <v>3519</v>
      </c>
      <c r="C273" s="1524"/>
      <c r="D273" s="1524"/>
      <c r="E273" s="1524"/>
      <c r="F273" s="1524"/>
      <c r="G273" s="1524"/>
      <c r="H273" s="1524"/>
      <c r="I273" s="1524"/>
      <c r="J273" s="1524"/>
      <c r="K273" s="1524"/>
      <c r="L273" s="1524"/>
      <c r="M273" s="1524"/>
      <c r="N273" s="62"/>
      <c r="O273" s="79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421"/>
      <c r="B275" s="1433"/>
      <c r="C275" s="1433"/>
      <c r="D275" s="1433"/>
      <c r="E275" s="1433"/>
      <c r="F275" s="1433"/>
      <c r="G275" s="1433"/>
      <c r="H275" s="1433"/>
      <c r="I275" s="1433"/>
      <c r="J275" s="1433"/>
      <c r="K275" s="1433"/>
      <c r="L275" s="1433"/>
      <c r="M275" s="1433"/>
      <c r="N275" s="1433"/>
      <c r="O275" s="1433"/>
      <c r="P275" s="1434"/>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411"/>
      <c r="B277" s="1412"/>
      <c r="C277" s="1412"/>
      <c r="D277" s="1412"/>
      <c r="E277" s="1412"/>
      <c r="F277" s="1412"/>
      <c r="G277" s="1412"/>
      <c r="H277" s="1412"/>
      <c r="I277" s="1412"/>
      <c r="J277" s="1412"/>
      <c r="K277" s="1412"/>
      <c r="L277" s="1412"/>
      <c r="M277" s="1412"/>
      <c r="N277" s="1412"/>
      <c r="O277" s="1412"/>
      <c r="P277" s="1413"/>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3837</v>
      </c>
      <c r="M281" s="52"/>
      <c r="N281" s="52"/>
      <c r="O281" s="796" t="s">
        <v>3928</v>
      </c>
      <c r="P281" s="234"/>
    </row>
    <row r="282" spans="1:18" s="45" customFormat="1" ht="3" customHeight="1">
      <c r="M282" s="52"/>
      <c r="N282" s="52"/>
      <c r="O282" s="52"/>
      <c r="P282" s="52"/>
    </row>
    <row r="283" spans="1:18" ht="12.6" customHeight="1">
      <c r="B283" s="258" t="s">
        <v>3060</v>
      </c>
      <c r="C283" s="256" t="s">
        <v>2160</v>
      </c>
      <c r="D283" s="42"/>
      <c r="E283" s="42"/>
      <c r="F283" s="42"/>
      <c r="G283" s="42"/>
      <c r="H283" s="42"/>
      <c r="I283" s="42"/>
      <c r="J283" s="42"/>
      <c r="K283" s="42"/>
      <c r="L283" s="42"/>
      <c r="M283" s="156"/>
      <c r="N283" s="62" t="s">
        <v>3060</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796" t="s">
        <v>4007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390" t="s">
        <v>4044</v>
      </c>
      <c r="B288" s="1391"/>
      <c r="C288" s="1391"/>
      <c r="D288" s="1391"/>
      <c r="E288" s="1391"/>
      <c r="F288" s="1391"/>
      <c r="G288" s="1391"/>
      <c r="H288" s="1391"/>
      <c r="I288" s="1391"/>
      <c r="J288" s="1391"/>
      <c r="K288" s="1391"/>
      <c r="L288" s="1391"/>
      <c r="M288" s="1391"/>
      <c r="N288" s="1391"/>
      <c r="O288" s="1391"/>
      <c r="P288" s="1392"/>
      <c r="Q288" s="1466" t="s">
        <v>1932</v>
      </c>
      <c r="R288" s="1466"/>
    </row>
    <row r="289" spans="1:19" s="67" customFormat="1" ht="23.45" customHeight="1">
      <c r="A289" s="1393" t="s">
        <v>4045</v>
      </c>
      <c r="B289" s="1394"/>
      <c r="C289" s="1394"/>
      <c r="D289" s="1394"/>
      <c r="E289" s="1394"/>
      <c r="F289" s="1394"/>
      <c r="G289" s="1394"/>
      <c r="H289" s="1394"/>
      <c r="I289" s="1394"/>
      <c r="J289" s="1394"/>
      <c r="K289" s="1394"/>
      <c r="L289" s="1394"/>
      <c r="M289" s="1394"/>
      <c r="N289" s="1394"/>
      <c r="O289" s="1394"/>
      <c r="P289" s="1395"/>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1396"/>
      <c r="B291" s="1397"/>
      <c r="C291" s="1397"/>
      <c r="D291" s="1397"/>
      <c r="E291" s="1397"/>
      <c r="F291" s="1397"/>
      <c r="G291" s="1397"/>
      <c r="H291" s="1397"/>
      <c r="I291" s="1397"/>
      <c r="J291" s="1397"/>
      <c r="K291" s="1397"/>
      <c r="L291" s="1397"/>
      <c r="M291" s="1397"/>
      <c r="N291" s="1397"/>
      <c r="O291" s="1397"/>
      <c r="P291" s="1398"/>
      <c r="Q291" s="1466" t="s">
        <v>1932</v>
      </c>
      <c r="R291" s="1466"/>
    </row>
    <row r="292" spans="1:19" s="53" customFormat="1" ht="23.45" customHeight="1">
      <c r="A292" s="1408"/>
      <c r="B292" s="1409"/>
      <c r="C292" s="1409"/>
      <c r="D292" s="1409"/>
      <c r="E292" s="1409"/>
      <c r="F292" s="1409"/>
      <c r="G292" s="1409"/>
      <c r="H292" s="1409"/>
      <c r="I292" s="1409"/>
      <c r="J292" s="1409"/>
      <c r="K292" s="1409"/>
      <c r="L292" s="1409"/>
      <c r="M292" s="1409"/>
      <c r="N292" s="1409"/>
      <c r="O292" s="1409"/>
      <c r="P292" s="1410"/>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47</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3185</v>
      </c>
      <c r="D301" s="166"/>
      <c r="E301" s="166"/>
      <c r="F301" s="166"/>
      <c r="G301" s="166"/>
      <c r="H301" s="166"/>
      <c r="I301" s="166"/>
      <c r="J301" s="166" t="s">
        <v>2800</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2636</v>
      </c>
      <c r="K303" s="209"/>
      <c r="L303" s="166"/>
      <c r="M303" s="250"/>
      <c r="N303" s="251"/>
      <c r="Q303" s="155"/>
      <c r="R303" s="155"/>
      <c r="S303" s="155"/>
    </row>
    <row r="304" spans="1:19" ht="15">
      <c r="A304" s="155"/>
      <c r="B304" s="155"/>
      <c r="C304" s="113" t="s">
        <v>3187</v>
      </c>
      <c r="D304" s="113"/>
      <c r="E304" s="113"/>
      <c r="F304" s="113"/>
      <c r="G304" s="113"/>
      <c r="H304" s="113"/>
      <c r="I304" s="113"/>
      <c r="J304" s="358" t="s">
        <v>2637</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3230</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3225</v>
      </c>
      <c r="D314" s="113"/>
      <c r="E314" s="113"/>
      <c r="F314" s="113"/>
      <c r="G314" s="113"/>
      <c r="H314" s="113"/>
      <c r="I314" s="113"/>
      <c r="J314" s="358" t="s">
        <v>2645</v>
      </c>
      <c r="K314" s="209"/>
      <c r="L314" s="166"/>
      <c r="M314" s="250"/>
      <c r="N314" s="251"/>
      <c r="Q314" s="155"/>
      <c r="R314" s="155"/>
      <c r="S314" s="155"/>
    </row>
    <row r="315" spans="1:19" ht="15">
      <c r="A315" s="155"/>
      <c r="B315" s="155"/>
      <c r="C315" s="360" t="s">
        <v>3226</v>
      </c>
      <c r="D315" s="113"/>
      <c r="E315" s="113"/>
      <c r="F315" s="113"/>
      <c r="G315" s="113"/>
      <c r="H315" s="113"/>
      <c r="I315" s="113"/>
      <c r="J315" s="358" t="s">
        <v>2646</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3809</v>
      </c>
      <c r="H324" s="673" t="s">
        <v>3810</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3167</v>
      </c>
      <c r="H326" s="674" t="s">
        <v>2033</v>
      </c>
      <c r="I326" s="674" t="s">
        <v>2030</v>
      </c>
      <c r="J326" s="166"/>
      <c r="K326" s="166"/>
      <c r="L326" s="166"/>
      <c r="M326" s="250"/>
      <c r="N326" s="251"/>
    </row>
    <row r="327" spans="1:19">
      <c r="A327" s="155"/>
      <c r="B327" s="155"/>
      <c r="C327" s="166"/>
      <c r="D327" s="166"/>
      <c r="E327" s="166"/>
      <c r="F327" s="166"/>
      <c r="G327" s="673" t="s">
        <v>2546</v>
      </c>
      <c r="H327" s="674" t="s">
        <v>3830</v>
      </c>
      <c r="I327" s="674" t="s">
        <v>2033</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2033</v>
      </c>
      <c r="H329" s="674" t="s">
        <v>3000</v>
      </c>
      <c r="I329" s="674" t="s">
        <v>3763</v>
      </c>
      <c r="J329" s="166"/>
      <c r="K329" s="166"/>
      <c r="L329" s="166"/>
      <c r="M329" s="250"/>
      <c r="N329" s="251"/>
    </row>
    <row r="330" spans="1:19">
      <c r="A330" s="155"/>
      <c r="B330" s="155"/>
      <c r="C330" s="166"/>
      <c r="D330" s="166"/>
      <c r="E330" s="166"/>
      <c r="F330" s="166"/>
      <c r="G330" s="673" t="s">
        <v>2251</v>
      </c>
      <c r="H330" s="674" t="s">
        <v>3412</v>
      </c>
      <c r="I330" s="674" t="s">
        <v>3765</v>
      </c>
      <c r="J330" s="166"/>
      <c r="K330" s="166"/>
      <c r="L330" s="166"/>
      <c r="M330" s="250"/>
      <c r="N330" s="251"/>
    </row>
    <row r="331" spans="1:19">
      <c r="A331" s="155"/>
      <c r="B331" s="155"/>
      <c r="C331" s="166"/>
      <c r="D331" s="166"/>
      <c r="E331" s="166"/>
      <c r="F331" s="166"/>
      <c r="G331" s="673" t="s">
        <v>1642</v>
      </c>
      <c r="H331" s="674" t="s">
        <v>3832</v>
      </c>
      <c r="I331" s="674" t="s">
        <v>3818</v>
      </c>
      <c r="J331" s="166"/>
      <c r="K331" s="166"/>
      <c r="L331" s="166"/>
      <c r="M331" s="250"/>
      <c r="N331" s="251"/>
    </row>
    <row r="332" spans="1:19">
      <c r="A332" s="155"/>
      <c r="B332" s="155"/>
      <c r="C332" s="166"/>
      <c r="D332" s="166"/>
      <c r="E332" s="166"/>
      <c r="F332" s="166"/>
      <c r="G332" s="673" t="s">
        <v>3765</v>
      </c>
      <c r="H332" s="674" t="s">
        <v>1003</v>
      </c>
      <c r="I332" s="674" t="s">
        <v>254</v>
      </c>
      <c r="J332" s="166"/>
      <c r="K332" s="166"/>
      <c r="L332" s="166"/>
      <c r="M332" s="250"/>
      <c r="N332" s="251"/>
    </row>
    <row r="333" spans="1:19">
      <c r="A333" s="155"/>
      <c r="B333" s="155"/>
      <c r="C333" s="166"/>
      <c r="D333" s="166"/>
      <c r="E333" s="166"/>
      <c r="F333" s="166"/>
      <c r="G333" s="673" t="s">
        <v>3154</v>
      </c>
      <c r="H333" s="674" t="s">
        <v>2633</v>
      </c>
      <c r="I333" s="674" t="s">
        <v>1549</v>
      </c>
      <c r="J333" s="166"/>
      <c r="K333" s="166"/>
      <c r="L333" s="166"/>
      <c r="M333" s="250"/>
      <c r="N333" s="251"/>
    </row>
    <row r="334" spans="1:19" ht="25.5">
      <c r="A334" s="155"/>
      <c r="B334" s="155"/>
      <c r="C334" s="166"/>
      <c r="D334" s="166"/>
      <c r="E334" s="166"/>
      <c r="F334" s="166"/>
      <c r="G334" s="673" t="s">
        <v>934</v>
      </c>
      <c r="H334" s="674" t="s">
        <v>3833</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3400</v>
      </c>
      <c r="I336" s="674" t="s">
        <v>1469</v>
      </c>
      <c r="J336" s="166"/>
      <c r="K336" s="166"/>
      <c r="L336" s="166"/>
      <c r="M336" s="250"/>
      <c r="N336" s="251"/>
    </row>
    <row r="337" spans="1:14">
      <c r="A337" s="155"/>
      <c r="B337" s="155"/>
      <c r="C337" s="166"/>
      <c r="D337" s="166"/>
      <c r="E337" s="166"/>
      <c r="F337" s="166"/>
      <c r="G337" s="673" t="s">
        <v>669</v>
      </c>
      <c r="H337" s="674" t="s">
        <v>2953</v>
      </c>
      <c r="I337" s="674" t="s">
        <v>1008</v>
      </c>
      <c r="J337" s="166"/>
      <c r="K337" s="166"/>
      <c r="L337" s="166"/>
      <c r="M337" s="250"/>
      <c r="N337" s="251"/>
    </row>
    <row r="338" spans="1:14" ht="51">
      <c r="A338" s="155"/>
      <c r="B338" s="155"/>
      <c r="C338" s="166"/>
      <c r="D338" s="166"/>
      <c r="E338" s="166"/>
      <c r="F338" s="166"/>
      <c r="G338" s="673" t="s">
        <v>298</v>
      </c>
      <c r="H338" s="674" t="s">
        <v>3836</v>
      </c>
      <c r="I338" s="674" t="s">
        <v>1013</v>
      </c>
      <c r="J338" s="166"/>
      <c r="K338" s="166"/>
      <c r="L338" s="166"/>
      <c r="M338" s="250"/>
      <c r="N338" s="251"/>
    </row>
    <row r="339" spans="1:14" ht="25.5">
      <c r="A339" s="155"/>
      <c r="B339" s="155"/>
      <c r="C339" s="166"/>
      <c r="D339" s="166"/>
      <c r="E339" s="166"/>
      <c r="F339" s="166"/>
      <c r="G339" s="673" t="s">
        <v>2548</v>
      </c>
      <c r="H339" s="674" t="s">
        <v>3829</v>
      </c>
      <c r="I339" s="674" t="s">
        <v>407</v>
      </c>
      <c r="J339" s="166"/>
      <c r="K339" s="166"/>
      <c r="L339" s="166"/>
      <c r="M339" s="250"/>
      <c r="N339" s="251"/>
    </row>
    <row r="340" spans="1:14" ht="25.5">
      <c r="A340" s="155"/>
      <c r="B340" s="155"/>
      <c r="C340" s="166"/>
      <c r="D340" s="166"/>
      <c r="E340" s="166"/>
      <c r="F340" s="166"/>
      <c r="G340" s="673" t="s">
        <v>881</v>
      </c>
      <c r="H340" s="674" t="s">
        <v>3834</v>
      </c>
      <c r="I340" s="674" t="s">
        <v>416</v>
      </c>
      <c r="J340" s="166"/>
      <c r="K340" s="166"/>
      <c r="L340" s="166"/>
      <c r="M340" s="250"/>
      <c r="N340" s="251"/>
    </row>
    <row r="341" spans="1:14">
      <c r="A341" s="155"/>
      <c r="B341" s="155"/>
      <c r="C341" s="166"/>
      <c r="D341" s="166"/>
      <c r="E341" s="166"/>
      <c r="F341" s="166"/>
      <c r="G341" s="673" t="s">
        <v>2549</v>
      </c>
      <c r="H341" s="674" t="s">
        <v>3835</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3191</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3389</v>
      </c>
      <c r="H349" s="674"/>
      <c r="I349" s="674" t="s">
        <v>2540</v>
      </c>
      <c r="J349" s="166"/>
      <c r="K349" s="166"/>
      <c r="L349" s="166"/>
      <c r="M349" s="250"/>
      <c r="N349" s="251"/>
    </row>
    <row r="350" spans="1:14">
      <c r="A350" s="155"/>
      <c r="B350" s="155"/>
      <c r="C350" s="166"/>
      <c r="D350" s="166"/>
      <c r="E350" s="166"/>
      <c r="F350" s="166"/>
      <c r="G350" s="673" t="s">
        <v>3391</v>
      </c>
      <c r="H350" s="674"/>
      <c r="I350" s="674" t="s">
        <v>1742</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2551</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3632</v>
      </c>
      <c r="J359" s="166"/>
      <c r="K359" s="166"/>
      <c r="L359" s="166"/>
      <c r="M359" s="155"/>
    </row>
    <row r="360" spans="1:14">
      <c r="A360" s="155"/>
      <c r="B360" s="155"/>
      <c r="C360" s="675"/>
      <c r="D360" s="123"/>
      <c r="E360" s="123"/>
      <c r="F360" s="123"/>
      <c r="G360" s="677" t="s">
        <v>2297</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9" manualBreakCount="9">
    <brk id="30" max="16383" man="1"/>
    <brk id="63" max="16383" man="1"/>
    <brk id="91" max="15" man="1"/>
    <brk id="130" max="15" man="1"/>
    <brk id="163" max="15" man="1"/>
    <brk id="190" max="15" man="1"/>
    <brk id="218" max="15" man="1"/>
    <brk id="251" max="15" man="1"/>
    <brk id="278" max="15"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zoomScaleNormal="100" workbookViewId="0">
      <selection activeCell="A192" sqref="A1:XFD1048576"/>
    </sheetView>
  </sheetViews>
  <sheetFormatPr defaultRowHeight="12.75"/>
  <cols>
    <col min="1" max="1" width="88.42578125" style="31" customWidth="1"/>
    <col min="2" max="16384" width="9.140625" style="31"/>
  </cols>
  <sheetData>
    <row r="1" spans="1:6" ht="15.75">
      <c r="A1" s="788" t="s">
        <v>803</v>
      </c>
    </row>
    <row r="2" spans="1:6" ht="16.5">
      <c r="A2" s="789" t="str">
        <f>'Part I-Project Information'!F22</f>
        <v>Veteran Senior Housing - Assisted Living</v>
      </c>
    </row>
    <row r="3" spans="1:6" ht="16.5">
      <c r="A3" s="789" t="str">
        <f>CONCATENATE('Part I-Project Information'!F24,", ", 'Part I-Project Information'!J25," County")</f>
        <v>Decatur, DeKalb County</v>
      </c>
    </row>
    <row r="4" spans="1:6" ht="12" customHeight="1"/>
    <row r="5" spans="1:6" ht="111" customHeight="1">
      <c r="A5" s="790" t="s">
        <v>4014</v>
      </c>
      <c r="B5" s="950" t="s">
        <v>1591</v>
      </c>
      <c r="C5" s="950"/>
      <c r="D5" s="950"/>
      <c r="E5" s="950"/>
      <c r="F5" s="950"/>
    </row>
    <row r="6" spans="1:6" ht="6.6" customHeight="1">
      <c r="A6" s="791"/>
      <c r="B6" s="950"/>
      <c r="C6" s="950"/>
      <c r="D6" s="950"/>
      <c r="E6" s="950"/>
      <c r="F6" s="950"/>
    </row>
    <row r="7" spans="1:6" ht="111" customHeight="1">
      <c r="A7" s="790" t="s">
        <v>4015</v>
      </c>
      <c r="C7" s="792"/>
    </row>
    <row r="8" spans="1:6" ht="6.6" customHeight="1">
      <c r="A8" s="791"/>
    </row>
    <row r="9" spans="1:6" ht="111" customHeight="1">
      <c r="A9" s="790" t="s">
        <v>4016</v>
      </c>
    </row>
    <row r="10" spans="1:6" ht="6.6" customHeight="1">
      <c r="A10" s="791"/>
    </row>
    <row r="11" spans="1:6" ht="111" customHeight="1">
      <c r="A11" s="790" t="s">
        <v>4017</v>
      </c>
    </row>
    <row r="12" spans="1:6" ht="6.6" customHeight="1">
      <c r="A12" s="791"/>
    </row>
    <row r="13" spans="1:6" ht="111" customHeight="1">
      <c r="A13" s="790" t="s">
        <v>4018</v>
      </c>
    </row>
    <row r="14" spans="1:6" ht="6.6" customHeight="1">
      <c r="A14" s="791"/>
    </row>
    <row r="15" spans="1:6" ht="111" customHeight="1">
      <c r="A15" s="790" t="s">
        <v>4019</v>
      </c>
    </row>
    <row r="16" spans="1:6" ht="6.6" customHeight="1">
      <c r="A16" s="791"/>
    </row>
    <row r="17" spans="1:1" ht="111" customHeight="1">
      <c r="A17" s="790" t="s">
        <v>4020</v>
      </c>
    </row>
    <row r="18" spans="1:1" ht="6.6" customHeight="1">
      <c r="A18" s="791"/>
    </row>
    <row r="19" spans="1:1" ht="111" customHeight="1">
      <c r="A19" s="790" t="s">
        <v>4021</v>
      </c>
    </row>
    <row r="20" spans="1:1" ht="6.6" customHeight="1">
      <c r="A20" s="791"/>
    </row>
    <row r="21" spans="1:1" ht="111" customHeight="1">
      <c r="A21" s="790" t="s">
        <v>4022</v>
      </c>
    </row>
    <row r="22" spans="1:1" ht="6.6" customHeight="1">
      <c r="A22" s="791"/>
    </row>
    <row r="23" spans="1:1" ht="111" customHeight="1">
      <c r="A23" s="790" t="s">
        <v>4024</v>
      </c>
    </row>
    <row r="24" spans="1:1" ht="6.6" customHeight="1">
      <c r="A24" s="791"/>
    </row>
    <row r="25" spans="1:1" ht="111" customHeight="1">
      <c r="A25" s="790"/>
    </row>
    <row r="26" spans="1:1" ht="6.6" customHeight="1">
      <c r="A26" s="791"/>
    </row>
    <row r="27" spans="1:1" ht="114" customHeight="1">
      <c r="A27" s="790"/>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180" zoomScaleNormal="100" workbookViewId="0">
      <selection activeCell="A192" sqref="A1:XFD1048576"/>
    </sheetView>
  </sheetViews>
  <sheetFormatPr defaultColWidth="8.85546875" defaultRowHeight="15.75"/>
  <cols>
    <col min="1" max="1" width="3.7109375" style="778" customWidth="1"/>
    <col min="2" max="6" width="6.42578125" style="778" customWidth="1"/>
    <col min="7" max="7" width="9.7109375" style="778" customWidth="1"/>
    <col min="8" max="13" width="6.42578125" style="778" customWidth="1"/>
    <col min="14" max="15" width="5.85546875" style="778" customWidth="1"/>
    <col min="16" max="16384" width="8.85546875" style="778"/>
  </cols>
  <sheetData>
    <row r="1" spans="1:26" ht="19.5">
      <c r="N1" s="779" t="s">
        <v>2242</v>
      </c>
      <c r="O1" s="779"/>
      <c r="P1" s="779"/>
      <c r="Q1" s="779"/>
      <c r="R1" s="779"/>
      <c r="S1" s="779"/>
      <c r="T1" s="779"/>
      <c r="U1" s="779"/>
      <c r="V1" s="779"/>
      <c r="W1" s="779"/>
      <c r="X1" s="779"/>
      <c r="Y1" s="779"/>
      <c r="Z1" s="779"/>
    </row>
    <row r="3" spans="1:26">
      <c r="N3" s="780" t="s">
        <v>2243</v>
      </c>
      <c r="O3" s="780"/>
      <c r="P3" s="780"/>
      <c r="Q3" s="780"/>
      <c r="R3" s="780"/>
      <c r="S3" s="780"/>
      <c r="T3" s="780"/>
      <c r="U3" s="780"/>
      <c r="V3" s="780"/>
      <c r="W3" s="780"/>
      <c r="X3" s="780"/>
      <c r="Y3" s="780"/>
      <c r="Z3" s="780"/>
    </row>
    <row r="4" spans="1:26">
      <c r="N4" s="781" t="s">
        <v>2244</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1059</v>
      </c>
    </row>
    <row r="7" spans="1:26" ht="11.45" customHeight="1">
      <c r="A7" s="782"/>
      <c r="B7" s="782"/>
      <c r="C7" s="782"/>
      <c r="D7" s="782"/>
      <c r="E7" s="782"/>
      <c r="F7" s="782"/>
      <c r="G7" s="782"/>
      <c r="H7" s="782"/>
      <c r="I7" s="782"/>
      <c r="J7" s="782"/>
      <c r="K7" s="782"/>
      <c r="L7" s="782"/>
      <c r="M7" s="782"/>
    </row>
    <row r="8" spans="1:26" ht="63.6" customHeight="1">
      <c r="A8" s="1576" t="s">
        <v>3474</v>
      </c>
      <c r="B8" s="1576"/>
      <c r="C8" s="1576"/>
      <c r="D8" s="1576"/>
      <c r="E8" s="1576"/>
      <c r="F8" s="1576"/>
      <c r="G8" s="1576"/>
      <c r="H8" s="1576"/>
      <c r="I8" s="1576"/>
      <c r="J8" s="1576"/>
      <c r="K8" s="1576"/>
      <c r="L8" s="1576"/>
      <c r="M8" s="1576"/>
    </row>
    <row r="9" spans="1:26" ht="11.45" customHeight="1">
      <c r="A9" s="782"/>
      <c r="B9" s="782"/>
      <c r="C9" s="782"/>
      <c r="D9" s="782"/>
      <c r="E9" s="782"/>
      <c r="F9" s="782"/>
      <c r="G9" s="782"/>
      <c r="H9" s="782"/>
      <c r="I9" s="782"/>
      <c r="J9" s="782"/>
      <c r="K9" s="782"/>
      <c r="L9" s="782"/>
      <c r="M9" s="782"/>
    </row>
    <row r="10" spans="1:26">
      <c r="A10" s="782" t="s">
        <v>1064</v>
      </c>
      <c r="B10" s="782"/>
      <c r="C10" s="782"/>
      <c r="D10" s="782"/>
      <c r="E10" s="782"/>
      <c r="F10" s="782"/>
      <c r="G10" s="782"/>
      <c r="H10" s="782"/>
      <c r="I10" s="782"/>
      <c r="J10" s="782"/>
      <c r="K10" s="782"/>
      <c r="L10" s="782"/>
      <c r="M10" s="782"/>
    </row>
    <row r="11" spans="1:26" ht="11.45" customHeight="1">
      <c r="A11" s="782"/>
      <c r="B11" s="782"/>
      <c r="C11" s="782"/>
      <c r="D11" s="782"/>
      <c r="E11" s="782"/>
      <c r="F11" s="782"/>
      <c r="G11" s="782"/>
      <c r="H11" s="782"/>
      <c r="I11" s="782"/>
      <c r="J11" s="782"/>
      <c r="K11" s="782"/>
      <c r="L11" s="782"/>
      <c r="M11" s="782"/>
    </row>
    <row r="12" spans="1:26">
      <c r="A12" s="1571" t="s">
        <v>2969</v>
      </c>
      <c r="B12" s="1571"/>
      <c r="C12" s="1571"/>
      <c r="D12" s="1571"/>
      <c r="E12" s="1571"/>
      <c r="F12" s="1571"/>
      <c r="G12" s="1571"/>
      <c r="H12" s="1571"/>
      <c r="I12" s="1571"/>
      <c r="J12" s="1571"/>
      <c r="K12" s="1571"/>
      <c r="L12" s="1571"/>
      <c r="M12" s="1571"/>
    </row>
    <row r="13" spans="1:26" ht="11.45" customHeight="1">
      <c r="A13" s="1571"/>
      <c r="B13" s="1571"/>
      <c r="C13" s="1571"/>
      <c r="D13" s="1571"/>
      <c r="E13" s="1571"/>
      <c r="F13" s="1571"/>
      <c r="G13" s="1571"/>
      <c r="H13" s="1571"/>
      <c r="I13" s="1571"/>
      <c r="J13" s="1571"/>
      <c r="K13" s="1571"/>
      <c r="L13" s="1571"/>
      <c r="M13" s="1571"/>
    </row>
    <row r="14" spans="1:26" ht="48.6" customHeight="1">
      <c r="A14" s="1577" t="s">
        <v>802</v>
      </c>
      <c r="B14" s="1577"/>
      <c r="C14" s="1577"/>
      <c r="D14" s="1577"/>
      <c r="E14" s="1577"/>
      <c r="F14" s="1577"/>
      <c r="G14" s="1577"/>
      <c r="H14" s="1577"/>
      <c r="I14" s="1577"/>
      <c r="J14" s="1577"/>
      <c r="K14" s="1577"/>
      <c r="L14" s="1577"/>
      <c r="M14" s="1577"/>
    </row>
    <row r="15" spans="1:26" ht="3" customHeight="1">
      <c r="A15" s="1571"/>
      <c r="B15" s="1571"/>
      <c r="C15" s="1571"/>
      <c r="D15" s="1571"/>
      <c r="E15" s="1571"/>
      <c r="F15" s="1571"/>
      <c r="G15" s="1571"/>
      <c r="H15" s="1571"/>
      <c r="I15" s="1571"/>
      <c r="J15" s="1571"/>
      <c r="K15" s="1571"/>
      <c r="L15" s="1571"/>
      <c r="M15" s="1571"/>
    </row>
    <row r="16" spans="1:26" ht="60" customHeight="1">
      <c r="A16" s="784" t="s">
        <v>2764</v>
      </c>
      <c r="B16" s="1570" t="s">
        <v>111</v>
      </c>
      <c r="C16" s="1570"/>
      <c r="D16" s="1570"/>
      <c r="E16" s="1570"/>
      <c r="F16" s="1570"/>
      <c r="G16" s="1570"/>
      <c r="H16" s="1570"/>
      <c r="I16" s="1570"/>
      <c r="J16" s="1570"/>
      <c r="K16" s="1570"/>
      <c r="L16" s="1570"/>
      <c r="M16" s="1570"/>
    </row>
    <row r="17" spans="1:13" ht="3" customHeight="1">
      <c r="A17" s="1571"/>
      <c r="B17" s="1571"/>
      <c r="C17" s="1571"/>
      <c r="D17" s="1571"/>
      <c r="E17" s="1571"/>
      <c r="F17" s="1571"/>
      <c r="G17" s="1571"/>
      <c r="H17" s="1571"/>
      <c r="I17" s="1571"/>
      <c r="J17" s="1571"/>
      <c r="K17" s="1571"/>
      <c r="L17" s="1571"/>
      <c r="M17" s="1571"/>
    </row>
    <row r="18" spans="1:13" ht="120.6" customHeight="1">
      <c r="A18" s="784" t="s">
        <v>2765</v>
      </c>
      <c r="B18" s="1570" t="s">
        <v>980</v>
      </c>
      <c r="C18" s="1570"/>
      <c r="D18" s="1570"/>
      <c r="E18" s="1570"/>
      <c r="F18" s="1570"/>
      <c r="G18" s="1570"/>
      <c r="H18" s="1570"/>
      <c r="I18" s="1570"/>
      <c r="J18" s="1570"/>
      <c r="K18" s="1570"/>
      <c r="L18" s="1570"/>
      <c r="M18" s="1570"/>
    </row>
    <row r="19" spans="1:13" ht="3" customHeight="1">
      <c r="A19" s="1571"/>
      <c r="B19" s="1571"/>
      <c r="C19" s="1571"/>
      <c r="D19" s="1571"/>
      <c r="E19" s="1571"/>
      <c r="F19" s="1571"/>
      <c r="G19" s="1571"/>
      <c r="H19" s="1571"/>
      <c r="I19" s="1571"/>
      <c r="J19" s="1571"/>
      <c r="K19" s="1571"/>
      <c r="L19" s="1571"/>
      <c r="M19" s="1571"/>
    </row>
    <row r="20" spans="1:13" ht="135.6" customHeight="1">
      <c r="A20" s="784" t="s">
        <v>2766</v>
      </c>
      <c r="B20" s="1570" t="s">
        <v>1493</v>
      </c>
      <c r="C20" s="1570"/>
      <c r="D20" s="1570"/>
      <c r="E20" s="1570"/>
      <c r="F20" s="1570"/>
      <c r="G20" s="1570"/>
      <c r="H20" s="1570"/>
      <c r="I20" s="1570"/>
      <c r="J20" s="1570"/>
      <c r="K20" s="1570"/>
      <c r="L20" s="1570"/>
      <c r="M20" s="1570"/>
    </row>
    <row r="21" spans="1:13" ht="3" customHeight="1">
      <c r="A21" s="1571"/>
      <c r="B21" s="1571"/>
      <c r="C21" s="1571"/>
      <c r="D21" s="1571"/>
      <c r="E21" s="1571"/>
      <c r="F21" s="1571"/>
      <c r="G21" s="1571"/>
      <c r="H21" s="1571"/>
      <c r="I21" s="1571"/>
      <c r="J21" s="1571"/>
      <c r="K21" s="1571"/>
      <c r="L21" s="1571"/>
      <c r="M21" s="1571"/>
    </row>
    <row r="22" spans="1:13" ht="65.45" customHeight="1">
      <c r="A22" s="784" t="s">
        <v>3571</v>
      </c>
      <c r="B22" s="1570" t="s">
        <v>1033</v>
      </c>
      <c r="C22" s="1570"/>
      <c r="D22" s="1570"/>
      <c r="E22" s="1570"/>
      <c r="F22" s="1570"/>
      <c r="G22" s="1570"/>
      <c r="H22" s="1570"/>
      <c r="I22" s="1570"/>
      <c r="J22" s="1570"/>
      <c r="K22" s="1570"/>
      <c r="L22" s="1570"/>
      <c r="M22" s="1570"/>
    </row>
    <row r="23" spans="1:13" ht="165.6" customHeight="1">
      <c r="A23" s="784" t="s">
        <v>2303</v>
      </c>
      <c r="B23" s="1570" t="s">
        <v>3124</v>
      </c>
      <c r="C23" s="1570"/>
      <c r="D23" s="1570"/>
      <c r="E23" s="1570"/>
      <c r="F23" s="1570"/>
      <c r="G23" s="1570"/>
      <c r="H23" s="1570"/>
      <c r="I23" s="1570"/>
      <c r="J23" s="1570"/>
      <c r="K23" s="1570"/>
      <c r="L23" s="1570"/>
      <c r="M23" s="1570"/>
    </row>
    <row r="24" spans="1:13" ht="3" customHeight="1">
      <c r="A24" s="1571"/>
      <c r="B24" s="1571"/>
      <c r="C24" s="1571"/>
      <c r="D24" s="1571"/>
      <c r="E24" s="1571"/>
      <c r="F24" s="1571"/>
      <c r="G24" s="1571"/>
      <c r="H24" s="1571"/>
      <c r="I24" s="1571"/>
      <c r="J24" s="1571"/>
      <c r="K24" s="1571"/>
      <c r="L24" s="1571"/>
      <c r="M24" s="1571"/>
    </row>
    <row r="25" spans="1:13" ht="46.15" customHeight="1">
      <c r="A25" s="784" t="s">
        <v>2304</v>
      </c>
      <c r="B25" s="1570" t="s">
        <v>2191</v>
      </c>
      <c r="C25" s="1570"/>
      <c r="D25" s="1570"/>
      <c r="E25" s="1570"/>
      <c r="F25" s="1570"/>
      <c r="G25" s="1570"/>
      <c r="H25" s="1570"/>
      <c r="I25" s="1570"/>
      <c r="J25" s="1570"/>
      <c r="K25" s="1570"/>
      <c r="L25" s="1570"/>
      <c r="M25" s="1570"/>
    </row>
    <row r="26" spans="1:13" ht="3" customHeight="1">
      <c r="A26" s="1571"/>
      <c r="B26" s="1571"/>
      <c r="C26" s="1571"/>
      <c r="D26" s="1571"/>
      <c r="E26" s="1571"/>
      <c r="F26" s="1571"/>
      <c r="G26" s="1571"/>
      <c r="H26" s="1571"/>
      <c r="I26" s="1571"/>
      <c r="J26" s="1571"/>
      <c r="K26" s="1571"/>
      <c r="L26" s="1571"/>
      <c r="M26" s="1571"/>
    </row>
    <row r="27" spans="1:13">
      <c r="A27" s="784" t="s">
        <v>112</v>
      </c>
      <c r="B27" s="1570" t="s">
        <v>2192</v>
      </c>
      <c r="C27" s="1570"/>
      <c r="D27" s="1570"/>
      <c r="E27" s="1570"/>
      <c r="F27" s="1570"/>
      <c r="G27" s="1570"/>
      <c r="H27" s="1570"/>
      <c r="I27" s="1570"/>
      <c r="J27" s="1570"/>
      <c r="K27" s="1570"/>
      <c r="L27" s="1570"/>
      <c r="M27" s="1570"/>
    </row>
    <row r="28" spans="1:13" ht="12" customHeight="1">
      <c r="A28" s="1571"/>
      <c r="B28" s="1571"/>
      <c r="C28" s="1571"/>
      <c r="D28" s="1571"/>
      <c r="E28" s="1571"/>
      <c r="F28" s="1571"/>
      <c r="G28" s="1571"/>
      <c r="H28" s="1571"/>
      <c r="I28" s="1571"/>
      <c r="J28" s="1571"/>
      <c r="K28" s="1571"/>
      <c r="L28" s="1571"/>
      <c r="M28" s="1571"/>
    </row>
    <row r="29" spans="1:13">
      <c r="A29" s="1571" t="s">
        <v>2193</v>
      </c>
      <c r="B29" s="1571"/>
      <c r="C29" s="1571"/>
      <c r="D29" s="1571"/>
      <c r="E29" s="1571"/>
      <c r="F29" s="1571"/>
      <c r="G29" s="1571"/>
      <c r="H29" s="1571"/>
      <c r="I29" s="1571"/>
      <c r="J29" s="1571"/>
      <c r="K29" s="1571"/>
      <c r="L29" s="1571"/>
      <c r="M29" s="1571"/>
    </row>
    <row r="30" spans="1:13" ht="3" customHeight="1">
      <c r="A30" s="1571"/>
      <c r="B30" s="1571"/>
      <c r="C30" s="1571"/>
      <c r="D30" s="1571"/>
      <c r="E30" s="1571"/>
      <c r="F30" s="1571"/>
      <c r="G30" s="1571"/>
      <c r="H30" s="1571"/>
      <c r="I30" s="1571"/>
      <c r="J30" s="1571"/>
      <c r="K30" s="1571"/>
      <c r="L30" s="1571"/>
      <c r="M30" s="1571"/>
    </row>
    <row r="31" spans="1:13" ht="33" customHeight="1">
      <c r="A31" s="785" t="s">
        <v>2194</v>
      </c>
      <c r="B31" s="1570" t="s">
        <v>2152</v>
      </c>
      <c r="C31" s="1570"/>
      <c r="D31" s="1570"/>
      <c r="E31" s="1570"/>
      <c r="F31" s="1570"/>
      <c r="G31" s="1570"/>
      <c r="H31" s="1570"/>
      <c r="I31" s="1570"/>
      <c r="J31" s="1570"/>
      <c r="K31" s="1570"/>
      <c r="L31" s="1570"/>
      <c r="M31" s="1570"/>
    </row>
    <row r="32" spans="1:13" ht="3" customHeight="1">
      <c r="A32" s="1571"/>
      <c r="B32" s="1571"/>
      <c r="C32" s="1571"/>
      <c r="D32" s="1571"/>
      <c r="E32" s="1571"/>
      <c r="F32" s="1571"/>
      <c r="G32" s="1571"/>
      <c r="H32" s="1571"/>
      <c r="I32" s="1571"/>
      <c r="J32" s="1571"/>
      <c r="K32" s="1571"/>
      <c r="L32" s="1571"/>
      <c r="M32" s="1571"/>
    </row>
    <row r="33" spans="1:13" ht="45.6" customHeight="1">
      <c r="A33" s="785" t="s">
        <v>2194</v>
      </c>
      <c r="B33" s="1570" t="s">
        <v>1789</v>
      </c>
      <c r="C33" s="1570"/>
      <c r="D33" s="1570"/>
      <c r="E33" s="1570"/>
      <c r="F33" s="1570"/>
      <c r="G33" s="1570"/>
      <c r="H33" s="1570"/>
      <c r="I33" s="1570"/>
      <c r="J33" s="1570"/>
      <c r="K33" s="1570"/>
      <c r="L33" s="1570"/>
      <c r="M33" s="1570"/>
    </row>
    <row r="34" spans="1:13" ht="3" customHeight="1">
      <c r="A34" s="1571"/>
      <c r="B34" s="1571"/>
      <c r="C34" s="1571"/>
      <c r="D34" s="1571"/>
      <c r="E34" s="1571"/>
      <c r="F34" s="1571"/>
      <c r="G34" s="1571"/>
      <c r="H34" s="1571"/>
      <c r="I34" s="1571"/>
      <c r="J34" s="1571"/>
      <c r="K34" s="1571"/>
      <c r="L34" s="1571"/>
      <c r="M34" s="1571"/>
    </row>
    <row r="35" spans="1:13" ht="75" customHeight="1">
      <c r="A35" s="785" t="s">
        <v>2194</v>
      </c>
      <c r="B35" s="1570" t="s">
        <v>1775</v>
      </c>
      <c r="C35" s="1570"/>
      <c r="D35" s="1570"/>
      <c r="E35" s="1570"/>
      <c r="F35" s="1570"/>
      <c r="G35" s="1570"/>
      <c r="H35" s="1570"/>
      <c r="I35" s="1570"/>
      <c r="J35" s="1570"/>
      <c r="K35" s="1570"/>
      <c r="L35" s="1570"/>
      <c r="M35" s="1570"/>
    </row>
    <row r="36" spans="1:13" ht="12" customHeight="1">
      <c r="A36" s="1571"/>
      <c r="B36" s="1571"/>
      <c r="C36" s="1571"/>
      <c r="D36" s="1571"/>
      <c r="E36" s="1571"/>
      <c r="F36" s="1571"/>
      <c r="G36" s="1571"/>
      <c r="H36" s="1571"/>
      <c r="I36" s="1571"/>
      <c r="J36" s="1571"/>
      <c r="K36" s="1571"/>
      <c r="L36" s="1571"/>
      <c r="M36" s="1571"/>
    </row>
    <row r="37" spans="1:13" ht="48" customHeight="1">
      <c r="A37" s="1570" t="s">
        <v>1541</v>
      </c>
      <c r="B37" s="1570"/>
      <c r="C37" s="1570"/>
      <c r="D37" s="1570"/>
      <c r="E37" s="1570"/>
      <c r="F37" s="1570"/>
      <c r="G37" s="1570"/>
      <c r="H37" s="1570"/>
      <c r="I37" s="1570"/>
      <c r="J37" s="1570"/>
      <c r="K37" s="1570"/>
      <c r="L37" s="1570"/>
      <c r="M37" s="1570"/>
    </row>
    <row r="38" spans="1:13" ht="3" customHeight="1">
      <c r="A38" s="1571"/>
      <c r="B38" s="1571"/>
      <c r="C38" s="1571"/>
      <c r="D38" s="1571"/>
      <c r="E38" s="1571"/>
      <c r="F38" s="1571"/>
      <c r="G38" s="1571"/>
      <c r="H38" s="1571"/>
      <c r="I38" s="1571"/>
      <c r="J38" s="1571"/>
      <c r="K38" s="1571"/>
      <c r="L38" s="1571"/>
      <c r="M38" s="1571"/>
    </row>
    <row r="39" spans="1:13" ht="36.6" customHeight="1">
      <c r="A39" s="1570" t="s">
        <v>1516</v>
      </c>
      <c r="B39" s="1570"/>
      <c r="C39" s="1570"/>
      <c r="D39" s="1570"/>
      <c r="E39" s="1570"/>
      <c r="F39" s="1570"/>
      <c r="G39" s="1570"/>
      <c r="H39" s="1570"/>
      <c r="I39" s="1570"/>
      <c r="J39" s="1570"/>
      <c r="K39" s="1570"/>
      <c r="L39" s="1570"/>
      <c r="M39" s="1570"/>
    </row>
    <row r="40" spans="1:13" ht="3" customHeight="1">
      <c r="A40" s="1571"/>
      <c r="B40" s="1571"/>
      <c r="C40" s="1571"/>
      <c r="D40" s="1571"/>
      <c r="E40" s="1571"/>
      <c r="F40" s="1571"/>
      <c r="G40" s="1571"/>
      <c r="H40" s="1571"/>
      <c r="I40" s="1571"/>
      <c r="J40" s="1571"/>
      <c r="K40" s="1571"/>
      <c r="L40" s="1571"/>
      <c r="M40" s="1571"/>
    </row>
    <row r="41" spans="1:13">
      <c r="A41" s="1571" t="s">
        <v>1517</v>
      </c>
      <c r="B41" s="1571"/>
      <c r="C41" s="1571"/>
      <c r="D41" s="1571"/>
      <c r="E41" s="1571"/>
      <c r="F41" s="1571"/>
      <c r="G41" s="1571"/>
      <c r="H41" s="1571"/>
      <c r="I41" s="1571"/>
      <c r="J41" s="1571"/>
      <c r="K41" s="1571"/>
      <c r="L41" s="1571"/>
      <c r="M41" s="1571"/>
    </row>
    <row r="42" spans="1:13">
      <c r="A42" s="786"/>
      <c r="B42" s="786"/>
      <c r="C42" s="786"/>
      <c r="D42" s="786"/>
      <c r="E42" s="786"/>
      <c r="F42" s="786"/>
      <c r="G42" s="786"/>
      <c r="H42" s="786"/>
      <c r="I42" s="786"/>
      <c r="J42" s="786"/>
      <c r="K42" s="786"/>
      <c r="L42" s="786"/>
      <c r="M42" s="786"/>
    </row>
    <row r="43" spans="1:13">
      <c r="A43" s="1574"/>
      <c r="B43" s="1574"/>
      <c r="C43" s="1574"/>
      <c r="D43" s="1574"/>
      <c r="E43" s="1574"/>
      <c r="F43" s="1574"/>
      <c r="G43" s="787"/>
      <c r="H43" s="1574"/>
      <c r="I43" s="1574"/>
      <c r="J43" s="1574"/>
      <c r="K43" s="1574"/>
      <c r="L43" s="1574"/>
      <c r="M43" s="1574"/>
    </row>
    <row r="44" spans="1:13" ht="12" customHeight="1">
      <c r="A44" s="1573" t="s">
        <v>1518</v>
      </c>
      <c r="B44" s="1573"/>
      <c r="C44" s="1573"/>
      <c r="D44" s="1573"/>
      <c r="E44" s="1573"/>
      <c r="F44" s="1573"/>
      <c r="G44" s="787"/>
      <c r="H44" s="1573" t="s">
        <v>3057</v>
      </c>
      <c r="I44" s="1573"/>
      <c r="J44" s="1573"/>
      <c r="K44" s="1573"/>
      <c r="L44" s="1573"/>
      <c r="M44" s="1573"/>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574"/>
      <c r="B47" s="1574"/>
      <c r="C47" s="1574"/>
      <c r="D47" s="1574"/>
      <c r="E47" s="1574"/>
      <c r="F47" s="1574"/>
      <c r="G47" s="787"/>
      <c r="H47" s="1575"/>
      <c r="I47" s="1575"/>
      <c r="J47" s="1575"/>
      <c r="K47" s="1575"/>
      <c r="L47" s="1575"/>
      <c r="M47" s="1575"/>
    </row>
    <row r="48" spans="1:13" ht="12" customHeight="1">
      <c r="A48" s="1573" t="s">
        <v>1519</v>
      </c>
      <c r="B48" s="1573"/>
      <c r="C48" s="1573"/>
      <c r="D48" s="1573"/>
      <c r="E48" s="1573"/>
      <c r="F48" s="1573"/>
      <c r="G48" s="787"/>
      <c r="H48" s="1573" t="s">
        <v>1520</v>
      </c>
      <c r="I48" s="1573"/>
      <c r="J48" s="1573"/>
      <c r="K48" s="1573"/>
      <c r="L48" s="1573"/>
      <c r="M48" s="1573"/>
    </row>
    <row r="49" spans="1:13" ht="11.45" customHeight="1">
      <c r="A49" s="1571"/>
      <c r="B49" s="1571"/>
      <c r="C49" s="1571"/>
      <c r="D49" s="1571"/>
      <c r="E49" s="1571"/>
      <c r="F49" s="1571"/>
      <c r="G49" s="1571"/>
      <c r="H49" s="1571"/>
      <c r="I49" s="1571"/>
      <c r="J49" s="1571"/>
      <c r="K49" s="1571"/>
      <c r="L49" s="1571"/>
      <c r="M49" s="1571"/>
    </row>
    <row r="50" spans="1:13" ht="11.45" customHeight="1">
      <c r="A50" s="782"/>
      <c r="B50" s="782"/>
      <c r="C50" s="782"/>
      <c r="D50" s="782"/>
      <c r="E50" s="782"/>
      <c r="F50" s="782"/>
      <c r="G50" s="782"/>
      <c r="H50" s="1572" t="s">
        <v>1521</v>
      </c>
      <c r="I50" s="1572"/>
      <c r="J50" s="1572"/>
      <c r="K50" s="1572"/>
      <c r="L50" s="1572"/>
      <c r="M50" s="1572"/>
    </row>
    <row r="51" spans="1:13" ht="11.45" customHeight="1">
      <c r="A51" s="782"/>
      <c r="B51" s="782"/>
      <c r="C51" s="782"/>
      <c r="D51" s="782"/>
      <c r="E51" s="782"/>
      <c r="F51" s="782"/>
      <c r="G51" s="782"/>
    </row>
    <row r="52" spans="1:13" ht="11.45" customHeight="1">
      <c r="A52" s="782"/>
      <c r="B52" s="782"/>
      <c r="C52" s="782"/>
      <c r="D52" s="782"/>
      <c r="E52" s="782"/>
      <c r="F52" s="782"/>
      <c r="G52" s="782"/>
      <c r="H52" s="782"/>
      <c r="I52" s="782"/>
      <c r="J52" s="782"/>
      <c r="K52" s="782"/>
      <c r="L52" s="782"/>
      <c r="M52" s="782"/>
    </row>
    <row r="53" spans="1:13" ht="11.45" customHeight="1">
      <c r="A53" s="782"/>
      <c r="B53" s="782"/>
      <c r="C53" s="782"/>
      <c r="D53" s="782"/>
      <c r="E53" s="782"/>
      <c r="F53" s="782"/>
      <c r="G53" s="782"/>
      <c r="H53" s="782"/>
      <c r="I53" s="782"/>
      <c r="J53" s="782"/>
      <c r="K53" s="782"/>
      <c r="L53" s="782"/>
      <c r="M53" s="78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166" zoomScaleNormal="100" workbookViewId="0">
      <selection activeCell="D193" sqref="D19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581" t="s">
        <v>1090</v>
      </c>
      <c r="B2" s="1582"/>
      <c r="C2" s="1582"/>
      <c r="D2" s="1582"/>
      <c r="E2" s="1582"/>
      <c r="F2" s="1582"/>
      <c r="G2" s="1582"/>
      <c r="H2" s="1582"/>
      <c r="I2" s="1582"/>
      <c r="J2" s="1582"/>
      <c r="K2" s="1582"/>
      <c r="L2" s="1582"/>
      <c r="M2" s="1582"/>
      <c r="N2" s="1582"/>
      <c r="O2" s="1582"/>
      <c r="P2" s="1582"/>
      <c r="Q2" s="1582"/>
      <c r="R2" s="15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7598820</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9118560</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8358720</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2971</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579">
        <v>4000</v>
      </c>
      <c r="R26" s="15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579">
        <v>3000</v>
      </c>
      <c r="R27" s="15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579">
        <v>1000</v>
      </c>
      <c r="R28" s="15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579">
        <v>500</v>
      </c>
      <c r="R29" s="15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579">
        <v>5000</v>
      </c>
      <c r="R30" s="15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579">
        <v>3500</v>
      </c>
      <c r="R31" s="15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3038</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1580</v>
      </c>
      <c r="R37" s="424">
        <v>500000</v>
      </c>
      <c r="S37" s="434"/>
      <c r="T37" s="434"/>
      <c r="U37" s="434"/>
    </row>
    <row r="38" spans="1:21" s="418" customFormat="1" ht="11.45" customHeight="1">
      <c r="A38" s="243"/>
      <c r="B38" s="243" t="s">
        <v>3128</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3129</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578">
        <v>7.0000000000000007E-2</v>
      </c>
      <c r="R41" s="15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578">
        <v>7.0000000000000007E-2</v>
      </c>
      <c r="R42" s="15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579">
        <v>2700</v>
      </c>
      <c r="R43" s="15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2917</v>
      </c>
      <c r="C46" s="243"/>
      <c r="D46" s="241"/>
      <c r="E46" s="241"/>
      <c r="F46" s="243"/>
      <c r="G46" s="243"/>
      <c r="H46" s="243"/>
      <c r="I46" s="241"/>
      <c r="J46" s="243" t="s">
        <v>2757</v>
      </c>
      <c r="K46" s="243"/>
      <c r="L46" s="243"/>
      <c r="M46" s="243"/>
      <c r="N46" s="243"/>
      <c r="O46" s="243"/>
      <c r="P46" s="241"/>
      <c r="Q46" s="1579">
        <v>1800000</v>
      </c>
      <c r="R46" s="1580"/>
      <c r="S46" s="434"/>
      <c r="T46" s="434"/>
      <c r="U46" s="434"/>
    </row>
    <row r="47" spans="1:21" s="418" customFormat="1" ht="11.45" customHeight="1">
      <c r="A47" s="243"/>
      <c r="B47" s="243"/>
      <c r="C47" s="243"/>
      <c r="D47" s="241"/>
      <c r="E47" s="241"/>
      <c r="F47" s="243" t="s">
        <v>2738</v>
      </c>
      <c r="G47" s="243"/>
      <c r="H47" s="243" t="s">
        <v>3436</v>
      </c>
      <c r="I47" s="241"/>
      <c r="J47" s="243" t="s">
        <v>1586</v>
      </c>
      <c r="K47" s="243"/>
      <c r="L47" s="243"/>
      <c r="M47" s="243"/>
      <c r="N47" s="243"/>
      <c r="O47" s="243"/>
      <c r="P47" s="241"/>
      <c r="Q47" s="1578">
        <v>0.15</v>
      </c>
      <c r="R47" s="15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578">
        <v>0.15</v>
      </c>
      <c r="R48" s="15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578">
        <v>0.15</v>
      </c>
      <c r="R49" s="15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578">
        <v>0.15</v>
      </c>
      <c r="R50" s="15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578">
        <v>0.15</v>
      </c>
      <c r="R51" s="1578"/>
      <c r="S51" s="434"/>
      <c r="T51" s="434"/>
      <c r="U51" s="434"/>
    </row>
    <row r="52" spans="1:21" s="418" customFormat="1" ht="11.45" customHeight="1">
      <c r="A52" s="243"/>
      <c r="B52" s="583"/>
      <c r="C52" s="243"/>
      <c r="D52" s="241"/>
      <c r="E52" s="241"/>
      <c r="F52" s="243" t="s">
        <v>2787</v>
      </c>
      <c r="G52" s="243"/>
      <c r="H52" s="243"/>
      <c r="I52" s="241"/>
      <c r="J52" s="243" t="s">
        <v>3585</v>
      </c>
      <c r="K52" s="243"/>
      <c r="L52" s="243"/>
      <c r="M52" s="243"/>
      <c r="N52" s="243"/>
      <c r="O52" s="243"/>
      <c r="P52" s="241"/>
      <c r="Q52" s="1578">
        <v>0.15</v>
      </c>
      <c r="R52" s="15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578" t="s">
        <v>3587</v>
      </c>
      <c r="R53" s="15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579">
        <v>3000</v>
      </c>
      <c r="R59" s="15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578">
        <v>0.02</v>
      </c>
      <c r="R64" s="1578"/>
    </row>
    <row r="65" spans="1:21" s="434" customFormat="1" ht="11.45" customHeight="1">
      <c r="A65" s="243"/>
      <c r="B65" s="243" t="s">
        <v>2796</v>
      </c>
      <c r="C65" s="243"/>
      <c r="D65" s="243"/>
      <c r="E65" s="243"/>
      <c r="F65" s="243"/>
      <c r="G65" s="243"/>
      <c r="H65" s="243"/>
      <c r="J65" s="243" t="s">
        <v>2795</v>
      </c>
      <c r="K65" s="243"/>
      <c r="L65" s="243"/>
      <c r="M65" s="243"/>
      <c r="N65" s="243"/>
      <c r="O65" s="243"/>
      <c r="Q65" s="1578">
        <v>7.0000000000000007E-2</v>
      </c>
      <c r="R65" s="1578"/>
    </row>
    <row r="66" spans="1:21" s="434" customFormat="1" ht="11.45" customHeight="1">
      <c r="A66" s="243"/>
      <c r="B66" s="243" t="s">
        <v>2797</v>
      </c>
      <c r="C66" s="243"/>
      <c r="D66" s="243"/>
      <c r="E66" s="243"/>
      <c r="F66" s="243"/>
      <c r="G66" s="243"/>
      <c r="H66" s="243"/>
      <c r="J66" s="243" t="s">
        <v>2795</v>
      </c>
      <c r="K66" s="243"/>
      <c r="L66" s="243"/>
      <c r="M66" s="243"/>
      <c r="N66" s="243"/>
      <c r="O66" s="243"/>
      <c r="Q66" s="1578">
        <v>7.0000000000000007E-2</v>
      </c>
      <c r="R66" s="15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578">
        <v>0.03</v>
      </c>
      <c r="R67" s="15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578">
        <v>0.03</v>
      </c>
      <c r="R68" s="15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578">
        <v>0</v>
      </c>
      <c r="R69" s="15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775" t="s">
        <v>1386</v>
      </c>
      <c r="K75" s="775"/>
      <c r="L75" s="398"/>
    </row>
    <row r="76" spans="1:21" ht="13.5">
      <c r="C76" s="576" t="s">
        <v>1963</v>
      </c>
      <c r="D76" s="579" t="s">
        <v>1658</v>
      </c>
      <c r="J76" s="776" t="s">
        <v>1389</v>
      </c>
      <c r="K76" s="776" t="s">
        <v>1387</v>
      </c>
      <c r="L76" s="580" t="s">
        <v>1388</v>
      </c>
    </row>
    <row r="77" spans="1:21" ht="9" customHeight="1">
      <c r="C77" s="577" t="s">
        <v>2811</v>
      </c>
      <c r="D77" s="777">
        <v>48600</v>
      </c>
      <c r="J77" s="427">
        <v>0</v>
      </c>
      <c r="K77" s="427">
        <v>0.7</v>
      </c>
      <c r="L77" s="427">
        <v>1</v>
      </c>
    </row>
    <row r="78" spans="1:21" ht="9" customHeight="1">
      <c r="C78" s="577" t="s">
        <v>1659</v>
      </c>
      <c r="D78" s="777">
        <v>57700</v>
      </c>
      <c r="J78" s="427">
        <v>1</v>
      </c>
      <c r="K78" s="427">
        <v>0.75</v>
      </c>
      <c r="L78" s="427">
        <v>1.5</v>
      </c>
    </row>
    <row r="79" spans="1:21" ht="9" customHeight="1">
      <c r="C79" s="577" t="s">
        <v>1339</v>
      </c>
      <c r="D79" s="777">
        <v>71800</v>
      </c>
      <c r="J79" s="427">
        <v>2</v>
      </c>
      <c r="K79" s="427">
        <v>0.9</v>
      </c>
      <c r="L79" s="427">
        <v>3</v>
      </c>
    </row>
    <row r="80" spans="1:21" ht="9" customHeight="1">
      <c r="C80" s="577" t="s">
        <v>1340</v>
      </c>
      <c r="D80" s="777">
        <v>55600</v>
      </c>
      <c r="J80" s="427">
        <v>3</v>
      </c>
      <c r="K80" s="427">
        <v>1.04</v>
      </c>
      <c r="L80" s="427">
        <v>4.5</v>
      </c>
    </row>
    <row r="81" spans="3:12" ht="9" customHeight="1">
      <c r="C81" s="577" t="s">
        <v>13</v>
      </c>
      <c r="D81" s="777">
        <v>54700</v>
      </c>
      <c r="J81" s="427">
        <v>4</v>
      </c>
      <c r="K81" s="427">
        <v>1.1599999999999999</v>
      </c>
      <c r="L81" s="427">
        <v>6</v>
      </c>
    </row>
    <row r="82" spans="3:12" ht="9" customHeight="1">
      <c r="C82" s="577" t="s">
        <v>1660</v>
      </c>
      <c r="D82" s="777">
        <v>55900</v>
      </c>
      <c r="J82" s="427">
        <v>5</v>
      </c>
      <c r="K82" s="427">
        <v>1.28</v>
      </c>
      <c r="L82" s="427">
        <v>7.5</v>
      </c>
    </row>
    <row r="83" spans="3:12" ht="9" customHeight="1">
      <c r="C83" s="577" t="s">
        <v>2271</v>
      </c>
      <c r="D83" s="777">
        <v>55900</v>
      </c>
    </row>
    <row r="84" spans="3:12" ht="9" customHeight="1">
      <c r="C84" s="577" t="s">
        <v>217</v>
      </c>
      <c r="D84" s="777">
        <v>51800</v>
      </c>
    </row>
    <row r="85" spans="3:12" ht="9" customHeight="1">
      <c r="C85" s="577" t="s">
        <v>431</v>
      </c>
      <c r="D85" s="777">
        <v>52400</v>
      </c>
    </row>
    <row r="86" spans="3:12" ht="9" customHeight="1">
      <c r="C86" s="578" t="s">
        <v>1882</v>
      </c>
      <c r="D86" s="777">
        <v>60200</v>
      </c>
    </row>
    <row r="87" spans="3:12" ht="9" customHeight="1">
      <c r="C87" s="578" t="s">
        <v>1341</v>
      </c>
      <c r="D87" s="777">
        <v>47500</v>
      </c>
    </row>
    <row r="88" spans="3:12" ht="9" customHeight="1">
      <c r="C88" s="578" t="s">
        <v>1661</v>
      </c>
      <c r="D88" s="777">
        <v>44900</v>
      </c>
    </row>
    <row r="89" spans="3:12" ht="9" customHeight="1">
      <c r="C89" s="577" t="s">
        <v>1342</v>
      </c>
      <c r="D89" s="777">
        <v>54100</v>
      </c>
    </row>
    <row r="90" spans="3:12" ht="9" customHeight="1">
      <c r="C90" s="578" t="s">
        <v>2185</v>
      </c>
      <c r="D90" s="777">
        <v>40400</v>
      </c>
    </row>
    <row r="91" spans="3:12" ht="9" customHeight="1">
      <c r="C91" s="577" t="s">
        <v>2021</v>
      </c>
      <c r="D91" s="777">
        <v>53200</v>
      </c>
    </row>
    <row r="92" spans="3:12" ht="9" customHeight="1">
      <c r="C92" s="578" t="s">
        <v>1344</v>
      </c>
      <c r="D92" s="777">
        <v>47200</v>
      </c>
    </row>
    <row r="93" spans="3:12" ht="9" customHeight="1">
      <c r="C93" s="578" t="s">
        <v>3134</v>
      </c>
      <c r="D93" s="777">
        <v>63600</v>
      </c>
    </row>
    <row r="94" spans="3:12" ht="9" customHeight="1">
      <c r="C94" s="578" t="s">
        <v>3900</v>
      </c>
      <c r="D94" s="777">
        <v>52500</v>
      </c>
    </row>
    <row r="95" spans="3:12" ht="9" customHeight="1">
      <c r="C95" s="577" t="s">
        <v>3400</v>
      </c>
      <c r="D95" s="777">
        <v>52400</v>
      </c>
    </row>
    <row r="96" spans="3:12" ht="9" customHeight="1">
      <c r="C96" s="577" t="s">
        <v>2027</v>
      </c>
      <c r="D96" s="777">
        <v>59000</v>
      </c>
    </row>
    <row r="97" spans="3:4" ht="9" customHeight="1">
      <c r="C97" s="577" t="s">
        <v>2713</v>
      </c>
      <c r="D97" s="777">
        <v>48300</v>
      </c>
    </row>
    <row r="98" spans="3:4" ht="9" customHeight="1">
      <c r="C98" s="577" t="s">
        <v>2726</v>
      </c>
      <c r="D98" s="777">
        <v>66000</v>
      </c>
    </row>
    <row r="99" spans="3:4" ht="9" customHeight="1">
      <c r="C99" s="578" t="s">
        <v>1873</v>
      </c>
      <c r="D99" s="777">
        <v>43400</v>
      </c>
    </row>
    <row r="100" spans="3:4" ht="9" customHeight="1">
      <c r="C100" s="578" t="s">
        <v>2807</v>
      </c>
      <c r="D100" s="777">
        <v>40600</v>
      </c>
    </row>
    <row r="101" spans="3:4" ht="9" customHeight="1">
      <c r="C101" s="578" t="s">
        <v>2809</v>
      </c>
      <c r="D101" s="777">
        <v>40600</v>
      </c>
    </row>
    <row r="102" spans="3:4" ht="9" customHeight="1">
      <c r="C102" s="577" t="s">
        <v>212</v>
      </c>
      <c r="D102" s="777">
        <v>51900</v>
      </c>
    </row>
    <row r="103" spans="3:4" ht="9" customHeight="1">
      <c r="C103" s="578" t="s">
        <v>2013</v>
      </c>
      <c r="D103" s="777">
        <v>53700</v>
      </c>
    </row>
    <row r="104" spans="3:4" ht="9" customHeight="1">
      <c r="C104" s="578" t="s">
        <v>1662</v>
      </c>
      <c r="D104" s="777">
        <v>41100</v>
      </c>
    </row>
    <row r="105" spans="3:4" ht="9" customHeight="1">
      <c r="C105" s="578" t="s">
        <v>2019</v>
      </c>
      <c r="D105" s="777">
        <v>43100</v>
      </c>
    </row>
    <row r="106" spans="3:4" ht="9" customHeight="1">
      <c r="C106" s="577" t="s">
        <v>2023</v>
      </c>
      <c r="D106" s="777">
        <v>51100</v>
      </c>
    </row>
    <row r="107" spans="3:4" ht="9" customHeight="1">
      <c r="C107" s="577" t="s">
        <v>2029</v>
      </c>
      <c r="D107" s="777">
        <v>53600</v>
      </c>
    </row>
    <row r="108" spans="3:4" ht="9" customHeight="1">
      <c r="C108" s="578" t="s">
        <v>2034</v>
      </c>
      <c r="D108" s="777">
        <v>38600</v>
      </c>
    </row>
    <row r="109" spans="3:4" ht="9" customHeight="1">
      <c r="C109" s="577" t="s">
        <v>1219</v>
      </c>
      <c r="D109" s="777">
        <v>56000</v>
      </c>
    </row>
    <row r="110" spans="3:4" ht="9" customHeight="1">
      <c r="C110" s="578" t="s">
        <v>1221</v>
      </c>
      <c r="D110" s="777">
        <v>38200</v>
      </c>
    </row>
    <row r="111" spans="3:4" ht="9" customHeight="1">
      <c r="C111" s="578" t="s">
        <v>214</v>
      </c>
      <c r="D111" s="777">
        <v>41600</v>
      </c>
    </row>
    <row r="112" spans="3:4" ht="9" customHeight="1">
      <c r="C112" s="578" t="s">
        <v>219</v>
      </c>
      <c r="D112" s="777">
        <v>45100</v>
      </c>
    </row>
    <row r="113" spans="3:4" ht="9" customHeight="1">
      <c r="C113" s="578" t="s">
        <v>3758</v>
      </c>
      <c r="D113" s="777">
        <v>34600</v>
      </c>
    </row>
    <row r="114" spans="3:4" ht="9" customHeight="1">
      <c r="C114" s="578" t="s">
        <v>3761</v>
      </c>
      <c r="D114" s="777">
        <v>39500</v>
      </c>
    </row>
    <row r="115" spans="3:4" ht="9" customHeight="1">
      <c r="C115" s="578" t="s">
        <v>3764</v>
      </c>
      <c r="D115" s="777">
        <v>44700</v>
      </c>
    </row>
    <row r="116" spans="3:4" ht="9" customHeight="1">
      <c r="C116" s="578" t="s">
        <v>3816</v>
      </c>
      <c r="D116" s="777">
        <v>43300</v>
      </c>
    </row>
    <row r="117" spans="3:4" ht="9" customHeight="1">
      <c r="C117" s="578" t="s">
        <v>3819</v>
      </c>
      <c r="D117" s="777">
        <v>39600</v>
      </c>
    </row>
    <row r="118" spans="3:4" ht="9" customHeight="1">
      <c r="C118" s="578" t="s">
        <v>251</v>
      </c>
      <c r="D118" s="777">
        <v>40700</v>
      </c>
    </row>
    <row r="119" spans="3:4" ht="9" customHeight="1">
      <c r="C119" s="578" t="s">
        <v>255</v>
      </c>
      <c r="D119" s="777">
        <v>40600</v>
      </c>
    </row>
    <row r="120" spans="3:4" ht="9" customHeight="1">
      <c r="C120" s="578" t="s">
        <v>1548</v>
      </c>
      <c r="D120" s="777">
        <v>43200</v>
      </c>
    </row>
    <row r="121" spans="3:4" ht="9" customHeight="1">
      <c r="C121" s="578" t="s">
        <v>1550</v>
      </c>
      <c r="D121" s="777">
        <v>44000</v>
      </c>
    </row>
    <row r="122" spans="3:4" ht="9" customHeight="1">
      <c r="C122" s="578" t="s">
        <v>1466</v>
      </c>
      <c r="D122" s="777">
        <v>38800</v>
      </c>
    </row>
    <row r="123" spans="3:4" ht="9" customHeight="1">
      <c r="C123" s="578" t="s">
        <v>1470</v>
      </c>
      <c r="D123" s="777">
        <v>42000</v>
      </c>
    </row>
    <row r="124" spans="3:4" ht="9" customHeight="1">
      <c r="C124" s="578" t="s">
        <v>3372</v>
      </c>
      <c r="D124" s="777">
        <v>38500</v>
      </c>
    </row>
    <row r="125" spans="3:4" ht="9" customHeight="1">
      <c r="C125" s="578" t="s">
        <v>998</v>
      </c>
      <c r="D125" s="777">
        <v>38700</v>
      </c>
    </row>
    <row r="126" spans="3:4" ht="9" customHeight="1">
      <c r="C126" s="578" t="s">
        <v>1000</v>
      </c>
      <c r="D126" s="777">
        <v>43600</v>
      </c>
    </row>
    <row r="127" spans="3:4" ht="9" customHeight="1">
      <c r="C127" s="577" t="s">
        <v>1005</v>
      </c>
      <c r="D127" s="777">
        <v>46700</v>
      </c>
    </row>
    <row r="128" spans="3:4" ht="9" customHeight="1">
      <c r="C128" s="578" t="s">
        <v>1007</v>
      </c>
      <c r="D128" s="777">
        <v>46600</v>
      </c>
    </row>
    <row r="129" spans="3:4" ht="9" customHeight="1">
      <c r="C129" s="577" t="s">
        <v>1009</v>
      </c>
      <c r="D129" s="777">
        <v>45500</v>
      </c>
    </row>
    <row r="130" spans="3:4" ht="9" customHeight="1">
      <c r="C130" s="578" t="s">
        <v>1012</v>
      </c>
      <c r="D130" s="777">
        <v>53200</v>
      </c>
    </row>
    <row r="131" spans="3:4" ht="9" customHeight="1">
      <c r="C131" s="578" t="s">
        <v>1014</v>
      </c>
      <c r="D131" s="777">
        <v>42600</v>
      </c>
    </row>
    <row r="132" spans="3:4" ht="9" customHeight="1">
      <c r="C132" s="578" t="s">
        <v>1016</v>
      </c>
      <c r="D132" s="777">
        <v>49500</v>
      </c>
    </row>
    <row r="133" spans="3:4" ht="9" customHeight="1">
      <c r="C133" s="578" t="s">
        <v>138</v>
      </c>
      <c r="D133" s="777">
        <v>52600</v>
      </c>
    </row>
    <row r="134" spans="3:4" ht="9" customHeight="1">
      <c r="C134" s="578" t="s">
        <v>408</v>
      </c>
      <c r="D134" s="777">
        <v>33900</v>
      </c>
    </row>
    <row r="135" spans="3:4" ht="9" customHeight="1">
      <c r="C135" s="578" t="s">
        <v>412</v>
      </c>
      <c r="D135" s="777">
        <v>49200</v>
      </c>
    </row>
    <row r="136" spans="3:4" ht="9" customHeight="1">
      <c r="C136" s="578" t="s">
        <v>417</v>
      </c>
      <c r="D136" s="777">
        <v>43800</v>
      </c>
    </row>
    <row r="137" spans="3:4" ht="9" customHeight="1">
      <c r="C137" s="578" t="s">
        <v>419</v>
      </c>
      <c r="D137" s="777">
        <v>56600</v>
      </c>
    </row>
    <row r="138" spans="3:4" ht="9" customHeight="1">
      <c r="C138" s="578" t="s">
        <v>422</v>
      </c>
      <c r="D138" s="777">
        <v>38500</v>
      </c>
    </row>
    <row r="139" spans="3:4" ht="9" customHeight="1">
      <c r="C139" s="578" t="s">
        <v>424</v>
      </c>
      <c r="D139" s="777">
        <v>39000</v>
      </c>
    </row>
    <row r="140" spans="3:4" ht="9" customHeight="1">
      <c r="C140" s="578" t="s">
        <v>426</v>
      </c>
      <c r="D140" s="777">
        <v>36800</v>
      </c>
    </row>
    <row r="141" spans="3:4" ht="9" customHeight="1">
      <c r="C141" s="578" t="s">
        <v>428</v>
      </c>
      <c r="D141" s="777">
        <v>36900</v>
      </c>
    </row>
    <row r="142" spans="3:4" ht="9" customHeight="1">
      <c r="C142" s="578" t="s">
        <v>2179</v>
      </c>
      <c r="D142" s="777">
        <v>47600</v>
      </c>
    </row>
    <row r="143" spans="3:4" ht="9" customHeight="1">
      <c r="C143" s="578" t="s">
        <v>2183</v>
      </c>
      <c r="D143" s="777">
        <v>45600</v>
      </c>
    </row>
    <row r="144" spans="3:4" ht="9" customHeight="1">
      <c r="C144" s="577" t="s">
        <v>234</v>
      </c>
      <c r="D144" s="777">
        <v>57700</v>
      </c>
    </row>
    <row r="145" spans="3:4" ht="9" customHeight="1">
      <c r="C145" s="578" t="s">
        <v>235</v>
      </c>
      <c r="D145" s="777">
        <v>36600</v>
      </c>
    </row>
    <row r="146" spans="3:4" ht="9" customHeight="1">
      <c r="C146" s="578" t="s">
        <v>2539</v>
      </c>
      <c r="D146" s="777">
        <v>39700</v>
      </c>
    </row>
    <row r="147" spans="3:4" ht="9" customHeight="1">
      <c r="C147" s="578" t="s">
        <v>2541</v>
      </c>
      <c r="D147" s="777">
        <v>38900</v>
      </c>
    </row>
    <row r="148" spans="3:4" ht="9" customHeight="1">
      <c r="C148" s="578" t="s">
        <v>242</v>
      </c>
      <c r="D148" s="777">
        <v>47800</v>
      </c>
    </row>
    <row r="149" spans="3:4" ht="9" customHeight="1">
      <c r="C149" s="577" t="s">
        <v>3898</v>
      </c>
      <c r="D149" s="777">
        <v>57400</v>
      </c>
    </row>
    <row r="150" spans="3:4" ht="9" customHeight="1">
      <c r="C150" s="578" t="s">
        <v>1723</v>
      </c>
      <c r="D150" s="777">
        <v>53100</v>
      </c>
    </row>
    <row r="151" spans="3:4" ht="9" customHeight="1">
      <c r="C151" s="578" t="s">
        <v>1726</v>
      </c>
      <c r="D151" s="777">
        <v>44700</v>
      </c>
    </row>
    <row r="152" spans="3:4" ht="9" customHeight="1">
      <c r="C152" s="578" t="s">
        <v>1729</v>
      </c>
      <c r="D152" s="777">
        <v>46200</v>
      </c>
    </row>
    <row r="153" spans="3:4" ht="9" customHeight="1">
      <c r="C153" s="577" t="s">
        <v>1731</v>
      </c>
      <c r="D153" s="777">
        <v>48500</v>
      </c>
    </row>
    <row r="154" spans="3:4" ht="9" customHeight="1">
      <c r="C154" s="577" t="s">
        <v>1733</v>
      </c>
      <c r="D154" s="777">
        <v>53900</v>
      </c>
    </row>
    <row r="155" spans="3:4" ht="9" customHeight="1">
      <c r="C155" s="578" t="s">
        <v>1735</v>
      </c>
      <c r="D155" s="777">
        <v>38200</v>
      </c>
    </row>
    <row r="156" spans="3:4" ht="9" customHeight="1">
      <c r="C156" s="578" t="s">
        <v>1737</v>
      </c>
      <c r="D156" s="777">
        <v>49800</v>
      </c>
    </row>
    <row r="157" spans="3:4" ht="9" customHeight="1">
      <c r="C157" s="578" t="s">
        <v>1739</v>
      </c>
      <c r="D157" s="777">
        <v>37700</v>
      </c>
    </row>
    <row r="158" spans="3:4" ht="9" customHeight="1">
      <c r="C158" s="578" t="s">
        <v>3275</v>
      </c>
      <c r="D158" s="777">
        <v>45000</v>
      </c>
    </row>
    <row r="159" spans="3:4" ht="9" customHeight="1">
      <c r="C159" s="578" t="s">
        <v>3277</v>
      </c>
      <c r="D159" s="777">
        <v>43200</v>
      </c>
    </row>
    <row r="160" spans="3:4" ht="9" customHeight="1">
      <c r="C160" s="577" t="s">
        <v>3279</v>
      </c>
      <c r="D160" s="777">
        <v>41400</v>
      </c>
    </row>
    <row r="161" spans="3:4" ht="9" customHeight="1">
      <c r="C161" s="577" t="s">
        <v>3282</v>
      </c>
      <c r="D161" s="777">
        <v>44400</v>
      </c>
    </row>
    <row r="162" spans="3:4" ht="9" customHeight="1">
      <c r="C162" s="578" t="s">
        <v>3284</v>
      </c>
      <c r="D162" s="777">
        <v>36800</v>
      </c>
    </row>
    <row r="163" spans="3:4" ht="9" customHeight="1">
      <c r="C163" s="578" t="s">
        <v>3286</v>
      </c>
      <c r="D163" s="777">
        <v>43800</v>
      </c>
    </row>
    <row r="164" spans="3:4" ht="9" customHeight="1">
      <c r="C164" s="578" t="s">
        <v>3288</v>
      </c>
      <c r="D164" s="777">
        <v>43800</v>
      </c>
    </row>
    <row r="165" spans="3:4" ht="9" customHeight="1">
      <c r="C165" s="578" t="s">
        <v>3290</v>
      </c>
      <c r="D165" s="777">
        <v>34600</v>
      </c>
    </row>
    <row r="166" spans="3:4" ht="9" customHeight="1">
      <c r="C166" s="578" t="s">
        <v>3292</v>
      </c>
      <c r="D166" s="777">
        <v>44700</v>
      </c>
    </row>
    <row r="167" spans="3:4" ht="9" customHeight="1">
      <c r="C167" s="578" t="s">
        <v>1461</v>
      </c>
      <c r="D167" s="777">
        <v>37300</v>
      </c>
    </row>
    <row r="168" spans="3:4" ht="9" customHeight="1">
      <c r="C168" s="578" t="s">
        <v>1463</v>
      </c>
      <c r="D168" s="777">
        <v>40500</v>
      </c>
    </row>
    <row r="169" spans="3:4" ht="9" customHeight="1">
      <c r="C169" s="577" t="s">
        <v>2663</v>
      </c>
      <c r="D169" s="777">
        <v>49300</v>
      </c>
    </row>
    <row r="170" spans="3:4" ht="9" customHeight="1">
      <c r="C170" s="577" t="s">
        <v>2979</v>
      </c>
      <c r="D170" s="777">
        <v>48600</v>
      </c>
    </row>
    <row r="171" spans="3:4" ht="9" customHeight="1">
      <c r="C171" s="577" t="s">
        <v>2981</v>
      </c>
      <c r="D171" s="777">
        <v>42900</v>
      </c>
    </row>
    <row r="172" spans="3:4" ht="9" customHeight="1">
      <c r="C172" s="577" t="s">
        <v>2983</v>
      </c>
      <c r="D172" s="777">
        <v>46400</v>
      </c>
    </row>
    <row r="173" spans="3:4" ht="9" customHeight="1">
      <c r="C173" s="577" t="s">
        <v>2985</v>
      </c>
      <c r="D173" s="777">
        <v>40700</v>
      </c>
    </row>
    <row r="174" spans="3:4" ht="9" customHeight="1">
      <c r="C174" s="578" t="s">
        <v>2987</v>
      </c>
      <c r="D174" s="777">
        <v>51700</v>
      </c>
    </row>
    <row r="175" spans="3:4" ht="9" customHeight="1">
      <c r="C175" s="577" t="s">
        <v>2989</v>
      </c>
      <c r="D175" s="777">
        <v>39100</v>
      </c>
    </row>
    <row r="176" spans="3:4" ht="9" customHeight="1">
      <c r="C176" s="577" t="s">
        <v>2992</v>
      </c>
      <c r="D176" s="777">
        <v>49500</v>
      </c>
    </row>
    <row r="177" spans="3:4" ht="9" customHeight="1">
      <c r="C177" s="578" t="s">
        <v>3086</v>
      </c>
      <c r="D177" s="777">
        <v>46400</v>
      </c>
    </row>
    <row r="178" spans="3:4" ht="9" customHeight="1">
      <c r="C178" s="577" t="s">
        <v>117</v>
      </c>
      <c r="D178" s="777">
        <v>45700</v>
      </c>
    </row>
    <row r="179" spans="3:4" ht="9" customHeight="1">
      <c r="C179" s="577" t="s">
        <v>119</v>
      </c>
      <c r="D179" s="777">
        <v>40900</v>
      </c>
    </row>
    <row r="180" spans="3:4" ht="9" customHeight="1">
      <c r="C180" s="577" t="s">
        <v>121</v>
      </c>
      <c r="D180" s="777">
        <v>45200</v>
      </c>
    </row>
    <row r="181" spans="3:4" ht="9" customHeight="1">
      <c r="C181" s="577" t="s">
        <v>123</v>
      </c>
      <c r="D181" s="777">
        <v>49100</v>
      </c>
    </row>
    <row r="182" spans="3:4" ht="9" customHeight="1">
      <c r="C182" s="577" t="s">
        <v>125</v>
      </c>
      <c r="D182" s="777">
        <v>40200</v>
      </c>
    </row>
    <row r="183" spans="3:4" ht="9" customHeight="1">
      <c r="C183" s="577" t="s">
        <v>127</v>
      </c>
      <c r="D183" s="777">
        <v>36900</v>
      </c>
    </row>
    <row r="184" spans="3:4" ht="9" customHeight="1">
      <c r="C184" s="577" t="s">
        <v>129</v>
      </c>
      <c r="D184" s="777">
        <v>50800</v>
      </c>
    </row>
    <row r="185" spans="3:4" ht="9" customHeight="1">
      <c r="C185" s="577" t="s">
        <v>3631</v>
      </c>
      <c r="D185" s="777">
        <v>43500</v>
      </c>
    </row>
    <row r="186" spans="3:4" ht="9" customHeight="1">
      <c r="C186" s="577" t="s">
        <v>3633</v>
      </c>
      <c r="D186" s="777">
        <v>45100</v>
      </c>
    </row>
    <row r="187" spans="3:4" ht="9" customHeight="1">
      <c r="C187" s="577" t="s">
        <v>3635</v>
      </c>
      <c r="D187" s="77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Veteran Senior Housing - Assisted Living</v>
      </c>
    </row>
    <row r="3" spans="1:2">
      <c r="A3" s="748" t="str">
        <f>CONCATENATE('Part I-Project Information'!F24,", ", 'Part I-Project Information'!J25," County")</f>
        <v>Decatur, DeKalb County</v>
      </c>
    </row>
    <row r="4" spans="1:2" ht="12" customHeight="1"/>
    <row r="5" spans="1:2" ht="111" customHeight="1">
      <c r="A5" s="748" t="str">
        <f>'Project Narrative'!A5</f>
        <v xml:space="preserve">Currently, once a senior can no longer live independently, residing in a nursing homes is one of the few long term care options for low- to moderate-income seniors.   While assisted living facilities can provide aging seniors with a more desirable community like setting, and delay or even prevent the need to being admitted into a nursing home, the high private pay costs make it unaffordable for most seniors.
Housing makes up a substantial portion of the total cost of living in an assisted living facility, land and development costs have a considerable impact on affordability.  Although many government agencies and private foundations hope to alleviate the situation by providing incentives such as loans or subsidies, the funds are fragmented and difficult to access (The Long Term Care Community Coalition 2008).
</v>
      </c>
      <c r="B5" s="748" t="s">
        <v>1591</v>
      </c>
    </row>
    <row r="6" spans="1:2" ht="6.6" customHeight="1"/>
    <row r="7" spans="1:2" ht="111" customHeight="1">
      <c r="A7" s="748" t="str">
        <f>'Project Narrative'!A7</f>
        <v xml:space="preserve">The demand for affordable senior living solutions is significant and growing exponentially. From 2007 to 2030, the population age 65+ is projected to grown by 89%, that is more than four times as fast as the population as a whole (+21%).  Most of this growth, especially over the next 10-15 years, will be amongst the young old (age 65-74) because of the aging of the baby boomers.  A better barometer for the potential demand for long term care services is the growth in the population age 85 or older, which is expected to increase by 74% between 2007 and 2030.  The oldest old not only have much higher rates of disability, but they also are much more likely to be widowed and without someone to provide assistance with daily activities (AARP Public Policy Institute.  Eight Edition.  2009). The population aged 85 or older, the age group that is most likely to need long term care services, is growing at a dramatic rate.  
</v>
      </c>
    </row>
    <row r="8" spans="1:2" ht="6.6" customHeight="1"/>
    <row r="9" spans="1:2" ht="111" customHeight="1">
      <c r="A9" s="748" t="str">
        <f>'Project Narrative'!A9</f>
        <v>As a developer, owner and manager of independent senior housing, Integral has observed that there is a growing number of seniors who are aging in-place and in need of an affordable assisted living option. Integral has developed 6 independent living senior facilities, and one private pay assisted living facility.  As our residents age and can no longer live independently or afford to be transferred to a private pay facility (typically $3,000 - $5,000 per month in Metro Atlanta), they are forced to lose their independence and many times feel like a burden by either residing with a relative or being admitted to a rehabilitation or nursing home. Therefore, most residents attempt to hide the fact that they can no longer live independently for fear of being forced to choose one of the undesirable alternatives. This is a terrible decision that we force upon our elderly, but nevertheless, it is their frightening reality. Furthermore, when these seniors are veterans who have sacrificed life and limb for our freedom, it exacerbates the cruelty of this dilemma and highlights the need for making a change.</v>
      </c>
    </row>
    <row r="10" spans="1:2" ht="6.6" customHeight="1"/>
    <row r="11" spans="1:2" ht="111" customHeight="1">
      <c r="A11" s="748" t="str">
        <f>'Project Narrative'!A11</f>
        <v xml:space="preserve">Therefore, our initial project to address this problem will be a community for veterans only.  As a result of this continued issue, Integral’s mission now includes pairing affordable assisted living services with affordable housing for those with low and moderate incomes.  Veteran Senior Housing – Assisted Living (“VSH”) Facility will be the first of many facilities addressing the needs of veteran and non-veteran seniors.  VSH will be a new construction, single building with approximately 60 units. VSH is located at approximately 3644 Memorial Drive, adjacent to the Wal-Mart Shopping Center.  Our project will be in the midst of a vibrant community in close proximity to amenities for our residents.  Our resident population will consist of 100% veterans. Therefore, in addition to being in close proximity to the amenities of the area, our property will also be in close proximity to the VA Medical Center located on Clairmont Road.  Quality affordable housing availability, along with Health Care, are two of the most important issues facing our growing veteran senior population.  </v>
      </c>
    </row>
    <row r="12" spans="1:2" ht="6.6" customHeight="1"/>
    <row r="13" spans="1:2" ht="111" customHeight="1">
      <c r="A13" s="748" t="str">
        <f>'Project Narrative'!A13</f>
        <v>More specifically, there are over 14,000 seniors who are veterans in DeKalb County where there are no affordable assisted living options.  The only affordable long term care option of scale presently to low income veteran seniors is nursing home care.  Our project will be designed and operated to allow seniors who are income qualified to choose assisted living services.   The building will be designed based upon the Lifelong Communities principles of creating a vibrant streetscape, walkable community to the adjacent retails business and other services within a 1-mile radius.  The building will have a commercial kitchen to offer meals for our residents, and other areas such as staff and management offices, resident care room, personal care room, laundry room and medical preparation space.   Also, there will be a van owned by the facility, to facilitate transportation to medical/doctor appointments as well as providing activities for residents outside of the facility.</v>
      </c>
    </row>
    <row r="14" spans="1:2" ht="6.6" customHeight="1"/>
    <row r="15" spans="1:2" ht="111" customHeight="1">
      <c r="A15" s="748" t="str">
        <f>'Project Narrative'!A15</f>
        <v xml:space="preserve">VSH combined demand for affordable assisted living units among veterans in DeKalb County was estimated at 422 persons. The proposed 60 units at DeKalb Veteran Senior housing represents only 14.2 percent of that demand (Documented in Tab 9 Market Study).
VSH will be a full service Assisted Living Facility (ALF) that will operate 24 hours per day, 7 days per week, inclusive of serving 3 meals per day. The service staff will assist residents with the activities of daily living (feeding, ambulating, toileting, grooming, bathing, transferring, etc.) as required and with medication management.
This type of ALF typically costs $3,000 - $5,000 per month. There will be no project based rental assistance; therefore, our residents will pay typically between $550 and $685 for rent.  </v>
      </c>
    </row>
    <row r="16" spans="1:2" ht="6.6" customHeight="1"/>
    <row r="17" spans="1:13" ht="111" customHeight="1">
      <c r="A17" s="748" t="str">
        <f>'Project Narrative'!A17</f>
        <v>All units will be private one bedroom and fully handicapped accessible. 100% of the project will be affordable to veteran seniors at or below 60% of the Area Median Income. Our residents that elect to receive assisted living services will be qualified to receive Aid and Attendance reimbursement from the Veterans Administration.  
Lastly, it is important to understand the human side of what a project like this can mean to the lives of one of our society’s most precious resources; our seniors. Below are two real stories that demonstrate why as a society we must to address this issue.</v>
      </c>
    </row>
    <row r="18" spans="1:13" ht="6.6" customHeight="1"/>
    <row r="19" spans="1:13" ht="111" customHeight="1">
      <c r="A19" s="748" t="str">
        <f>'Project Narrative'!A19</f>
        <v>Edna:  A few years ago Edna was roaming the halls or sitting in the library of her independent elderly-designated public housing building.  Edna was a real bright spot in this building.  She was always smiling and had cheerful comments for the staff and other residents.  She had lived at Town View Terrace since 1992 as a widow living on a social security pension after many years of working and raising her family.  
Edna was moved to a nursing home because she was having difficulty cooking and cleaning in addition to forgetting to take her medications daily.  None of her three children were in a position to take her in or to visit her often.  Her life and her close friends were at Town View Terrace.</v>
      </c>
    </row>
    <row r="20" spans="1:13" ht="6.6" customHeight="1"/>
    <row r="21" spans="1:13" ht="111" customHeight="1">
      <c r="A21" s="748" t="str">
        <f>'Project Narrative'!A21</f>
        <v xml:space="preserve">Several weeks later I had the opportunity to visit Edna in the nursing home.  I found her sitting in a chair besides her bed, looking like she had lost her best friend.  In fact, she had pretty much lost all her friends.  She said she had been asked not to walk around and visit with other folks as they didn’t have enough staff to keep track of all the residents if they didn’t stay in their rooms or as a part of organized activity.  While she still appeared to be healthy, she was definitely sad and lonely.  My heart ached for Edna.
I was able to visit Edna only once more sometime later and was extremely saddened to see her still sitting in the same chair but with no spirit left.  She barely smiled when I walked in the room.
Edna died in the nursing home alone and without her friends around her.  They said she died after a period of declining health.  I don’t believe it was poor health that caused Edna’s premature death.  I believe it was a broken heart.  I have been determined since then to find a way to help save other precious older citizens from having to suffer the same consequences unnecessarily.  </v>
      </c>
    </row>
    <row r="22" spans="1:13" ht="6.6" customHeight="1"/>
    <row r="23" spans="1:13" ht="111" customHeight="1">
      <c r="A23" s="748" t="str">
        <f>'Project Narrative'!A23</f>
        <v>The majority of our elderly low-income residents are in very much the same predicament as Edna was, and many live every day in fear of the day they will be forced to move to a nursing home and lose their independence, friends and family ties. 
                                 Stan Popp, Executive Director of Wayne Metropolitan Housing Authority, Ohio                                                                                                                       Timoteo and Vera:  The couple had been married for sixty-seven years and had lived in public housing for most of those years until Vera started experiencing symptoms of dementia.  Being confined to a wheel-chair, Timoteo was not able to assist with the care that Vera was requiring in addition to taking care of the daily household chores such as housekeeping, cooking, and laundry.  Several months later the housing director was forced to send Vera to a nursing home given her state of total neglect and Timoteo’s inability to properly care for her.</v>
      </c>
    </row>
    <row r="24" spans="1:13" ht="6.6" customHeight="1"/>
    <row r="25" spans="1:13" ht="111" customHeight="1">
      <c r="A25" s="748" t="str">
        <f>'Project Narrative'!A25</f>
        <v xml:space="preserve">It was at this time that the building where they both lived was being converted to an assisted living facility, the first public housing assisted living project in the nation.  After a short meeting with the administrator of the new program, Timoteo enrolled both himself and his wife Vera.  The next day we visited Vera at the nursing home where she had lived for several months.  We found her completely naked, sharing a tiny room with ten other women, tied to a bed and weighing less than eighty pounds.  Arrangements were made to transfer Vera back to her old apartment where Timoteo was waiting for her.   Their physical and cognitive health improved in just one month after arriving Vera moving back to her home, to the point that Timoteo was no longer using a wheel chair and Vera went back to dancing and playing her piano.  She was often referred as the soul of the building.  </v>
      </c>
    </row>
    <row r="26" spans="1:13" ht="6.6" customHeight="1"/>
    <row r="27" spans="1:13" ht="111" customHeight="1">
      <c r="A27" s="748" t="str">
        <f>'Project Narrative'!A27</f>
        <v xml:space="preserve">Timoteo died one year later of a heart attack with Vera at his side.  Vera remained at the facility for eight more years and died in her sleep surrounded by friends, her cat and the adoring staff members who cared for her over so many years.   Timoteo and Vera were indeed very lucky to live in a community such as this where they could age in place with dignity.   
                                                           Conchy Bretos, CEO Mia Senior Living Solutions
</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4077</v>
      </c>
      <c r="M32" s="748" t="s">
        <v>2729</v>
      </c>
    </row>
    <row r="33" spans="1:15" ht="12" customHeight="1">
      <c r="E33" s="748" t="s">
        <v>4078</v>
      </c>
      <c r="O33" s="748" t="str">
        <f>'Part I-Project Information'!$O$4</f>
        <v>2011-012</v>
      </c>
    </row>
    <row r="34" spans="1:15" ht="12" customHeight="1"/>
    <row r="35" spans="1:15" ht="13.15" customHeight="1">
      <c r="A35" s="748" t="s">
        <v>950</v>
      </c>
      <c r="C35" s="748" t="s">
        <v>3590</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3132</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3442</v>
      </c>
      <c r="F42" s="748" t="str">
        <f>'Part I-Project Information'!$F$13</f>
        <v>3644 Memorial Senior, LP c/o Vicki Lundy Wilbon</v>
      </c>
      <c r="M42" s="748" t="s">
        <v>3057</v>
      </c>
      <c r="N42" s="748" t="str">
        <f>'Part I-Project Information'!N13</f>
        <v>President</v>
      </c>
    </row>
    <row r="43" spans="1:15" ht="13.15" customHeight="1">
      <c r="C43" s="748" t="s">
        <v>3058</v>
      </c>
      <c r="F43" s="748" t="str">
        <f>'Part I-Project Information'!$F$14</f>
        <v>60 Piedmont Avenue NE</v>
      </c>
      <c r="M43" s="748" t="s">
        <v>2746</v>
      </c>
      <c r="O43" s="748">
        <f>'Part I-Project Information'!O14</f>
        <v>4042241882</v>
      </c>
    </row>
    <row r="44" spans="1:15" ht="13.15" customHeight="1">
      <c r="C44" s="748" t="s">
        <v>953</v>
      </c>
      <c r="F44" s="748" t="str">
        <f>'Part I-Project Information'!$F$15</f>
        <v>Atlanta</v>
      </c>
      <c r="M44" s="748" t="s">
        <v>2833</v>
      </c>
      <c r="O44" s="748">
        <f>'Part I-Project Information'!O15</f>
        <v>4042241899</v>
      </c>
    </row>
    <row r="45" spans="1:15" ht="13.15" customHeight="1">
      <c r="C45" s="748" t="s">
        <v>2830</v>
      </c>
      <c r="F45" s="748" t="str">
        <f>'Part I-Project Information'!$F$16</f>
        <v>GA</v>
      </c>
      <c r="I45" s="748" t="s">
        <v>3354</v>
      </c>
      <c r="J45" s="748">
        <f>'Part I-Project Information'!J16</f>
        <v>303030000</v>
      </c>
      <c r="M45" s="748" t="s">
        <v>3056</v>
      </c>
      <c r="O45" s="748">
        <f>'Part I-Project Information'!O16</f>
        <v>0</v>
      </c>
    </row>
    <row r="46" spans="1:15" ht="13.15" customHeight="1">
      <c r="C46" s="748" t="s">
        <v>2745</v>
      </c>
      <c r="F46" s="748">
        <f>'Part I-Project Information'!F17</f>
        <v>4042241860</v>
      </c>
      <c r="I46" s="748" t="s">
        <v>2744</v>
      </c>
      <c r="J46" s="748">
        <f>'Part I-Project Information'!J17</f>
        <v>1882</v>
      </c>
      <c r="K46" s="748" t="s">
        <v>3061</v>
      </c>
      <c r="L46" s="748" t="str">
        <f>'Part I-Project Information'!L17</f>
        <v>vlwilbon@integral-online.com</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Veteran Senior Housing - Assisted Living</v>
      </c>
      <c r="M51" s="748" t="s">
        <v>3300</v>
      </c>
      <c r="O51" s="748" t="str">
        <f>'Part I-Project Information'!O22</f>
        <v>No</v>
      </c>
    </row>
    <row r="52" spans="1:16" ht="13.15" customHeight="1">
      <c r="C52" s="748" t="s">
        <v>952</v>
      </c>
      <c r="F52" s="748" t="str">
        <f>'Part I-Project Information'!F23</f>
        <v>3644 Memorial Drive</v>
      </c>
      <c r="M52" s="748" t="s">
        <v>3146</v>
      </c>
      <c r="O52" s="748" t="str">
        <f>'Part I-Project Information'!O23</f>
        <v>No</v>
      </c>
    </row>
    <row r="53" spans="1:16" ht="13.15" customHeight="1">
      <c r="C53" s="748" t="s">
        <v>953</v>
      </c>
      <c r="F53" s="748" t="str">
        <f>'Part I-Project Information'!F24</f>
        <v>Decatur</v>
      </c>
      <c r="I53" s="748" t="s">
        <v>4079</v>
      </c>
      <c r="J53" s="748">
        <f>'Part I-Project Information'!J24</f>
        <v>300320000</v>
      </c>
      <c r="L53" s="748" t="str">
        <f>IF(AND(NOT(F51=""),NOT(F53="Select from list"),J53=""),"Enter Zip!","")</f>
        <v/>
      </c>
      <c r="M53" s="748" t="s">
        <v>3416</v>
      </c>
      <c r="O53" s="748">
        <f>'Part I-Project Information'!O24</f>
        <v>1.32</v>
      </c>
    </row>
    <row r="54" spans="1:16" ht="13.15" customHeight="1">
      <c r="C54" s="748" t="s">
        <v>3145</v>
      </c>
      <c r="F54" s="748" t="str">
        <f>'Part I-Project Information'!F25</f>
        <v>No</v>
      </c>
      <c r="I54" s="748" t="s">
        <v>954</v>
      </c>
      <c r="J54" s="748" t="str">
        <f>'Part I-Project Information'!J25</f>
        <v>DeKalb</v>
      </c>
      <c r="M54" s="748" t="s">
        <v>3435</v>
      </c>
      <c r="O54" s="748">
        <f>'Part I-Project Information'!O25</f>
        <v>231.02</v>
      </c>
    </row>
    <row r="55" spans="1:16" ht="13.15" customHeight="1">
      <c r="C55" s="748" t="s">
        <v>2313</v>
      </c>
      <c r="F55" s="748" t="str">
        <f>'Part I-Project Information'!F26</f>
        <v>No</v>
      </c>
      <c r="I55" s="748" t="s">
        <v>885</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15" customHeight="1">
      <c r="F57" s="748" t="s">
        <v>4080</v>
      </c>
      <c r="H57" s="748" t="s">
        <v>1225</v>
      </c>
      <c r="J57" s="748" t="s">
        <v>1226</v>
      </c>
    </row>
    <row r="58" spans="1:16" ht="13.15" customHeight="1">
      <c r="C58" s="748" t="s">
        <v>955</v>
      </c>
      <c r="F58" s="748">
        <f>'Part I-Project Information'!F29</f>
        <v>4</v>
      </c>
      <c r="H58" s="748">
        <f>'Part I-Project Information'!H29</f>
        <v>55</v>
      </c>
      <c r="J58" s="748">
        <f>'Part I-Project Information'!J29</f>
        <v>85</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DeKalb County</v>
      </c>
    </row>
    <row r="62" spans="1:16" ht="13.15" customHeight="1">
      <c r="C62" s="748" t="s">
        <v>974</v>
      </c>
      <c r="F62" s="748" t="str">
        <f>'Part I-Project Information'!F33</f>
        <v>Mr. W. Burrell Ellis, Jr</v>
      </c>
      <c r="K62" s="748" t="s">
        <v>3057</v>
      </c>
      <c r="L62" s="748" t="str">
        <f>'Part I-Project Information'!L33</f>
        <v xml:space="preserve">Chief Executive Officer </v>
      </c>
    </row>
    <row r="63" spans="1:16" ht="13.15" customHeight="1">
      <c r="C63" s="748" t="s">
        <v>3058</v>
      </c>
      <c r="F63" s="748" t="str">
        <f>'Part I-Project Information'!F34</f>
        <v xml:space="preserve">330 W. Ponce de Leon Avenue, 6th Floor </v>
      </c>
      <c r="K63" s="748" t="s">
        <v>953</v>
      </c>
      <c r="L63" s="748" t="str">
        <f>'Part I-Project Information'!L34</f>
        <v>Decatur</v>
      </c>
    </row>
    <row r="64" spans="1:16" ht="13.15" customHeight="1">
      <c r="C64" s="748" t="s">
        <v>3354</v>
      </c>
      <c r="F64" s="748">
        <f>'Part I-Project Information'!F35</f>
        <v>300300000</v>
      </c>
      <c r="H64" s="748" t="s">
        <v>3059</v>
      </c>
      <c r="I64" s="748">
        <f>'Part I-Project Information'!I35</f>
        <v>4043712881</v>
      </c>
      <c r="L64" s="748" t="s">
        <v>2833</v>
      </c>
      <c r="M64" s="748">
        <f>'Part I-Project Information'!M35</f>
        <v>4043716291</v>
      </c>
    </row>
    <row r="65" spans="1:16" ht="7.15" customHeight="1"/>
    <row r="66" spans="1:16" ht="13.15" customHeight="1">
      <c r="A66" s="748" t="s">
        <v>2825</v>
      </c>
      <c r="C66" s="748" t="s">
        <v>2208</v>
      </c>
      <c r="J66" s="748" t="s">
        <v>4081</v>
      </c>
    </row>
    <row r="67" spans="1:16" ht="3" customHeight="1"/>
    <row r="68" spans="1:16">
      <c r="B68" s="748" t="s">
        <v>3060</v>
      </c>
      <c r="C68" s="748" t="s">
        <v>3437</v>
      </c>
      <c r="F68" s="748" t="str">
        <f>'Part I-Project Information'!F39</f>
        <v>No</v>
      </c>
      <c r="J68" s="748" t="s">
        <v>1971</v>
      </c>
      <c r="L68" s="748" t="s">
        <v>1972</v>
      </c>
    </row>
    <row r="69" spans="1:16" ht="3" customHeight="1"/>
    <row r="70" spans="1:16" ht="13.15" customHeight="1">
      <c r="B70" s="748" t="s">
        <v>3063</v>
      </c>
      <c r="C70" s="748" t="s">
        <v>3599</v>
      </c>
      <c r="J70" s="748" t="s">
        <v>1975</v>
      </c>
      <c r="L70" s="748" t="s">
        <v>1970</v>
      </c>
    </row>
    <row r="71" spans="1:16" ht="13.15" customHeight="1">
      <c r="C71" s="748" t="s">
        <v>3436</v>
      </c>
      <c r="F71" s="748">
        <f>'Part VI-Revenues &amp; Expenses'!$M$75</f>
        <v>60</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3408</v>
      </c>
      <c r="I77" s="748" t="s">
        <v>2130</v>
      </c>
      <c r="J77" s="748" t="s">
        <v>3212</v>
      </c>
      <c r="K77" s="748" t="s">
        <v>3443</v>
      </c>
    </row>
    <row r="78" spans="1:16" ht="13.15" customHeight="1">
      <c r="C78" s="748" t="s">
        <v>3409</v>
      </c>
      <c r="H78" s="748">
        <f>SUM(H79:H80)</f>
        <v>60</v>
      </c>
      <c r="K78" s="748" t="s">
        <v>3444</v>
      </c>
      <c r="P78" s="748">
        <f>'Part VI-Revenues &amp; Expenses'!$M$94</f>
        <v>39000</v>
      </c>
    </row>
    <row r="79" spans="1:16" ht="13.15" customHeight="1">
      <c r="D79" s="748" t="s">
        <v>489</v>
      </c>
      <c r="H79" s="748">
        <f>'Part VI-Revenues &amp; Expenses'!$M$58</f>
        <v>12</v>
      </c>
      <c r="I79" s="748">
        <f>'Part VI-Revenues &amp; Expenses'!$M$66</f>
        <v>0</v>
      </c>
      <c r="K79" s="748" t="s">
        <v>326</v>
      </c>
      <c r="P79" s="748">
        <f>'Part VI-Revenues &amp; Expenses'!$M$95</f>
        <v>0</v>
      </c>
    </row>
    <row r="80" spans="1:16" ht="13.15" customHeight="1">
      <c r="D80" s="748" t="s">
        <v>2863</v>
      </c>
      <c r="H80" s="748">
        <f>'Part VI-Revenues &amp; Expenses'!$M$57</f>
        <v>48</v>
      </c>
      <c r="I80" s="748">
        <f>'Part VI-Revenues &amp; Expenses'!$M$65</f>
        <v>0</v>
      </c>
      <c r="K80" s="748" t="s">
        <v>3445</v>
      </c>
      <c r="P80" s="748">
        <f>+P78+P79</f>
        <v>39000</v>
      </c>
    </row>
    <row r="81" spans="1:16" ht="13.15" customHeight="1">
      <c r="C81" s="748" t="s">
        <v>327</v>
      </c>
      <c r="H81" s="748">
        <f>'Part VI-Revenues &amp; Expenses'!$M$60</f>
        <v>0</v>
      </c>
      <c r="K81" s="748" t="s">
        <v>2133</v>
      </c>
      <c r="P81" s="748">
        <f>'Part VI-Revenues &amp; Expenses'!$M$97</f>
        <v>0</v>
      </c>
    </row>
    <row r="82" spans="1:16" ht="13.15" customHeight="1">
      <c r="C82" s="748" t="s">
        <v>3650</v>
      </c>
      <c r="H82" s="748">
        <f>+H78+H81</f>
        <v>60</v>
      </c>
      <c r="K82" s="748" t="s">
        <v>2132</v>
      </c>
      <c r="P82" s="748">
        <f>+P80+P81</f>
        <v>39000</v>
      </c>
    </row>
    <row r="83" spans="1:16" ht="13.15" customHeight="1">
      <c r="C83" s="748" t="s">
        <v>3651</v>
      </c>
      <c r="H83" s="748">
        <f>'Part VI-Revenues &amp; Expenses'!$M$62</f>
        <v>0</v>
      </c>
    </row>
    <row r="84" spans="1:16" ht="13.15" customHeight="1">
      <c r="C84" s="748" t="s">
        <v>2824</v>
      </c>
      <c r="H84" s="748">
        <f>+H82+H83</f>
        <v>60</v>
      </c>
    </row>
    <row r="85" spans="1:16" ht="3" customHeight="1"/>
    <row r="86" spans="1:16" ht="13.15" customHeight="1">
      <c r="B86" s="748" t="s">
        <v>2762</v>
      </c>
      <c r="C86" s="748" t="s">
        <v>3438</v>
      </c>
      <c r="D86" s="748" t="s">
        <v>3074</v>
      </c>
      <c r="H86" s="748">
        <f>'Part I-Project Information'!H57</f>
        <v>1</v>
      </c>
      <c r="K86" s="748" t="s">
        <v>1759</v>
      </c>
      <c r="P86" s="748">
        <f>'Part I-Project Information'!P57</f>
        <v>10000</v>
      </c>
    </row>
    <row r="87" spans="1:16" ht="13.15" customHeight="1">
      <c r="D87" s="748" t="s">
        <v>3075</v>
      </c>
      <c r="H87" s="748">
        <f>'Part I-Project Information'!H58</f>
        <v>0</v>
      </c>
      <c r="K87" s="748" t="s">
        <v>325</v>
      </c>
      <c r="P87" s="748">
        <f>+P82+P86</f>
        <v>49000</v>
      </c>
    </row>
    <row r="88" spans="1:16" ht="13.15" customHeight="1">
      <c r="D88" s="748" t="s">
        <v>3076</v>
      </c>
      <c r="H88" s="748">
        <f>+H86+H87</f>
        <v>1</v>
      </c>
    </row>
    <row r="89" spans="1:16" ht="3" customHeight="1"/>
    <row r="90" spans="1:16" ht="13.15" customHeight="1">
      <c r="B90" s="748" t="s">
        <v>2763</v>
      </c>
      <c r="C90" s="748" t="s">
        <v>3600</v>
      </c>
      <c r="H90" s="748">
        <f>'Part I-Project Information'!H61</f>
        <v>25</v>
      </c>
    </row>
    <row r="91" spans="1:16" ht="9" customHeight="1"/>
    <row r="92" spans="1:16" ht="13.15" customHeight="1">
      <c r="A92" s="748" t="s">
        <v>822</v>
      </c>
      <c r="C92" s="748" t="s">
        <v>1836</v>
      </c>
    </row>
    <row r="93" spans="1:16" ht="3" customHeight="1"/>
    <row r="94" spans="1:16" ht="13.15" customHeight="1">
      <c r="B94" s="748" t="s">
        <v>3060</v>
      </c>
      <c r="C94" s="748" t="s">
        <v>2272</v>
      </c>
      <c r="H94" s="748" t="str">
        <f>'Part I-Project Information'!H65</f>
        <v>Senior (Elderly)</v>
      </c>
      <c r="K94" s="748" t="s">
        <v>2801</v>
      </c>
      <c r="N94" s="748">
        <f>'Part I-Project Information'!N65</f>
        <v>0</v>
      </c>
    </row>
    <row r="95" spans="1:16" ht="3" customHeight="1"/>
    <row r="96" spans="1:16" ht="13.15" customHeight="1">
      <c r="B96" s="748" t="s">
        <v>3063</v>
      </c>
      <c r="C96" s="748" t="s">
        <v>2121</v>
      </c>
      <c r="G96" s="748" t="s">
        <v>1378</v>
      </c>
      <c r="H96" s="748">
        <f>'Part I-Project Information'!H67</f>
        <v>3</v>
      </c>
      <c r="K96" s="748" t="s">
        <v>812</v>
      </c>
      <c r="P96" s="748">
        <f>IF('Part VI-Revenues &amp; Expenses'!$M$63=0,0,$H96/'Part VI-Revenues &amp; Expenses'!$M$63)</f>
        <v>0.05</v>
      </c>
    </row>
    <row r="97" spans="1:16" ht="3" customHeight="1"/>
    <row r="98" spans="1:16" ht="13.15" customHeight="1">
      <c r="B98" s="748" t="s">
        <v>1238</v>
      </c>
      <c r="C98" s="748" t="s">
        <v>2891</v>
      </c>
      <c r="G98" s="748" t="s">
        <v>1378</v>
      </c>
      <c r="H98" s="748">
        <f>'Part I-Project Information'!H69</f>
        <v>2</v>
      </c>
      <c r="K98" s="748" t="s">
        <v>812</v>
      </c>
      <c r="P98" s="748">
        <f>IF('Part VI-Revenues &amp; Expenses'!$M$63=0,0,$H98/'Part VI-Revenues &amp; Expenses'!$M$63)</f>
        <v>3.3333333333333333E-2</v>
      </c>
    </row>
    <row r="99" spans="1:16" ht="3" customHeight="1"/>
    <row r="100" spans="1:16" ht="13.15" customHeight="1">
      <c r="B100" s="748" t="s">
        <v>3212</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2285</v>
      </c>
      <c r="K106" s="748" t="s">
        <v>1459</v>
      </c>
      <c r="P106" s="748" t="str">
        <f>'Part I-Project Information'!P77</f>
        <v>Yes</v>
      </c>
    </row>
    <row r="107" spans="1:16" ht="9" customHeight="1"/>
    <row r="108" spans="1:16" ht="13.15" customHeight="1">
      <c r="A108" s="748" t="s">
        <v>385</v>
      </c>
      <c r="C108" s="748" t="s">
        <v>3133</v>
      </c>
    </row>
    <row r="109" spans="1:16" ht="3" customHeight="1"/>
    <row r="110" spans="1:16" ht="13.15" customHeight="1">
      <c r="E110" s="748">
        <f>'Part I-Project Information'!E81</f>
        <v>0</v>
      </c>
      <c r="F110" s="748" t="s">
        <v>3914</v>
      </c>
      <c r="H110" s="748">
        <f>'Part I-Project Information'!H81</f>
        <v>0</v>
      </c>
      <c r="I110" s="748" t="s">
        <v>3913</v>
      </c>
      <c r="K110" s="748">
        <f>'Part I-Project Information'!K81</f>
        <v>0</v>
      </c>
      <c r="L110" s="748" t="s">
        <v>144</v>
      </c>
    </row>
    <row r="111" spans="1:16" ht="13.15" customHeight="1">
      <c r="E111" s="748">
        <f>'Part I-Project Information'!E82</f>
        <v>0</v>
      </c>
      <c r="F111" s="748" t="s">
        <v>650</v>
      </c>
      <c r="H111" s="748">
        <f>'Part I-Project Information'!H82</f>
        <v>0</v>
      </c>
      <c r="I111" s="748" t="s">
        <v>3233</v>
      </c>
      <c r="K111" s="748">
        <f>'Part I-Project Information'!K82</f>
        <v>0</v>
      </c>
      <c r="L111" s="748" t="s">
        <v>3234</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3257</v>
      </c>
    </row>
    <row r="124" spans="1:15" ht="4.9000000000000004" customHeight="1"/>
    <row r="125" spans="1:15" ht="13.15" customHeight="1">
      <c r="B125" s="748" t="s">
        <v>3060</v>
      </c>
      <c r="C125" s="748" t="s">
        <v>2122</v>
      </c>
      <c r="H125" s="748">
        <f>'Part I-Project Information'!H96</f>
        <v>3</v>
      </c>
    </row>
    <row r="126" spans="1:15" ht="3.6" customHeight="1"/>
    <row r="127" spans="1:15" ht="13.15" customHeight="1">
      <c r="B127" s="748" t="s">
        <v>3063</v>
      </c>
      <c r="C127" s="748" t="s">
        <v>525</v>
      </c>
      <c r="H127" s="748">
        <f>'Part I-Project Information'!H98</f>
        <v>2409882</v>
      </c>
    </row>
    <row r="128" spans="1:15" ht="3.6" customHeight="1"/>
    <row r="129" spans="2:13" ht="13.15" customHeight="1">
      <c r="B129" s="748" t="s">
        <v>1238</v>
      </c>
      <c r="C129" s="748" t="s">
        <v>395</v>
      </c>
    </row>
    <row r="130" spans="2:13" ht="13.15" customHeight="1">
      <c r="C130" s="748" t="s">
        <v>3235</v>
      </c>
      <c r="F130" s="748" t="s">
        <v>1773</v>
      </c>
      <c r="J130" s="748" t="s">
        <v>3235</v>
      </c>
      <c r="M130" s="748" t="s">
        <v>1773</v>
      </c>
    </row>
    <row r="131" spans="2:13" ht="13.15" customHeight="1">
      <c r="C131" s="748" t="str">
        <f>'Part I-Project Information'!C102</f>
        <v>Grady Multfamily II, LP</v>
      </c>
      <c r="F131" s="748" t="str">
        <f>'Part I-Project Information'!F102</f>
        <v>Ashley Auburn Pointe II</v>
      </c>
      <c r="J131" s="748" t="str">
        <f>'Part I-Project Information'!J102</f>
        <v>Atlanta Housing Authority</v>
      </c>
      <c r="M131" s="748" t="str">
        <f>'Part I-Project Information'!M102</f>
        <v>Veranda at Centennial Place</v>
      </c>
    </row>
    <row r="132" spans="2:13" ht="13.15" customHeight="1">
      <c r="C132" s="748" t="str">
        <f>'Part I-Project Information'!C103</f>
        <v>The Housing Authority of the City of Atlanta, Georgia</v>
      </c>
      <c r="F132" s="748" t="str">
        <f>'Part I-Project Information'!F103</f>
        <v>Ashley Auburn Pointe II</v>
      </c>
      <c r="J132" s="748" t="str">
        <f>'Part I-Project Information'!J103</f>
        <v>3644 Memorial Senior LP</v>
      </c>
      <c r="M132" s="748" t="str">
        <f>'Part I-Project Information'!M103</f>
        <v>Veteran Senior Housing - Assisted Living</v>
      </c>
    </row>
    <row r="133" spans="2:13" ht="13.15" customHeight="1">
      <c r="C133" s="748" t="str">
        <f>'Part I-Project Information'!C104</f>
        <v>Integral Development, LLC</v>
      </c>
      <c r="F133" s="748" t="str">
        <f>'Part I-Project Information'!F104</f>
        <v>Ashley Auburn Pointe II</v>
      </c>
      <c r="J133" s="748" t="str">
        <f>'Part I-Project Information'!J104</f>
        <v>3644 Memorial Senior GP, LLC</v>
      </c>
      <c r="M133" s="748" t="str">
        <f>'Part I-Project Information'!M104</f>
        <v>Veteran Senior Housing - Assisted Living</v>
      </c>
    </row>
    <row r="134" spans="2:13" ht="13.15" customHeight="1">
      <c r="C134" s="748" t="str">
        <f>'Part I-Project Information'!C105</f>
        <v>Grady Multifamily GP II, LLC</v>
      </c>
      <c r="F134" s="748" t="str">
        <f>'Part I-Project Information'!F105</f>
        <v>Ashley Auburn Pointe II</v>
      </c>
      <c r="J134" s="748" t="str">
        <f>'Part I-Project Information'!J105</f>
        <v>Integral Development, LLC</v>
      </c>
      <c r="M134" s="748" t="str">
        <f>'Part I-Project Information'!M105</f>
        <v>Veteran Senior Housing - Assisted Living</v>
      </c>
    </row>
    <row r="135" spans="2:13" ht="13.15" customHeight="1">
      <c r="C135" s="748" t="str">
        <f>'Part I-Project Information'!C106</f>
        <v>Centennial Senior Partnership I, LP</v>
      </c>
      <c r="F135" s="748" t="str">
        <f>'Part I-Project Information'!F106</f>
        <v>Veranda at Centennial Place</v>
      </c>
      <c r="J135" s="748">
        <f>'Part I-Project Information'!J106</f>
        <v>12</v>
      </c>
      <c r="M135" s="748">
        <f>'Part I-Project Information'!M106</f>
        <v>0</v>
      </c>
    </row>
    <row r="136" spans="2:13" ht="13.15" customHeight="1">
      <c r="C136" s="748" t="str">
        <f>'Part I-Project Information'!C107</f>
        <v>Centennial Senior GP I, LLC</v>
      </c>
      <c r="F136" s="748" t="str">
        <f>'Part I-Project Information'!F107</f>
        <v>Veranda at Centennial Place</v>
      </c>
      <c r="J136" s="748">
        <f>'Part I-Project Information'!J107</f>
        <v>13</v>
      </c>
      <c r="M136" s="748">
        <f>'Part I-Project Information'!M107</f>
        <v>0</v>
      </c>
    </row>
    <row r="137" spans="2:13" ht="13.15" customHeight="1">
      <c r="C137" s="748" t="str">
        <f>'Part I-Project Information'!C108</f>
        <v>Integral Development, LLC</v>
      </c>
      <c r="F137" s="748" t="str">
        <f>'Part I-Project Information'!F108</f>
        <v>Veranda at Centennial Place</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1773</v>
      </c>
      <c r="J141" s="748" t="s">
        <v>3235</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3665</v>
      </c>
      <c r="H150" s="748" t="str">
        <f>'Part I-Project Information'!H121</f>
        <v>No</v>
      </c>
    </row>
    <row r="151" spans="1:15" ht="3" customHeight="1"/>
    <row r="152" spans="1:15" ht="13.15" customHeight="1">
      <c r="B152" s="748" t="s">
        <v>3060</v>
      </c>
      <c r="C152" s="748" t="s">
        <v>2731</v>
      </c>
      <c r="H152" s="748">
        <f>'Part I-Project Information'!H123</f>
        <v>0</v>
      </c>
    </row>
    <row r="153" spans="1:15" ht="13.15" customHeight="1">
      <c r="C153" s="748" t="s">
        <v>3667</v>
      </c>
      <c r="H153" s="748">
        <f>'Part I-Project Information'!H124</f>
        <v>0</v>
      </c>
    </row>
    <row r="154" spans="1:15" ht="13.15" customHeight="1">
      <c r="C154" s="748" t="s">
        <v>2730</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f>'Part I-Project Information'!H130</f>
        <v>0</v>
      </c>
    </row>
    <row r="160" spans="1:15" ht="3" customHeight="1"/>
    <row r="161" spans="1:16" ht="13.15" customHeight="1">
      <c r="B161" s="748" t="s">
        <v>1238</v>
      </c>
      <c r="C161" s="748" t="s">
        <v>981</v>
      </c>
    </row>
    <row r="162" spans="1:16" ht="13.15" customHeight="1">
      <c r="C162" s="748" t="s">
        <v>4082</v>
      </c>
      <c r="H162" s="748">
        <f>'Part I-Project Information'!H133</f>
        <v>0</v>
      </c>
      <c r="K162" s="748" t="s">
        <v>2286</v>
      </c>
      <c r="O162" s="748">
        <f>'Part I-Project Information'!O133</f>
        <v>0</v>
      </c>
    </row>
    <row r="163" spans="1:16" ht="13.15" customHeight="1">
      <c r="C163" s="748" t="s">
        <v>4083</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3060</v>
      </c>
      <c r="C167" s="748" t="s">
        <v>2864</v>
      </c>
    </row>
    <row r="168" spans="1:16" ht="12.6" customHeight="1">
      <c r="C168" s="748" t="s">
        <v>2278</v>
      </c>
      <c r="K168" s="748" t="str">
        <f>'Part I-Project Information'!K139</f>
        <v>No</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2372</v>
      </c>
      <c r="I176" s="748" t="str">
        <f>'Part I-Project Information'!I147</f>
        <v>No</v>
      </c>
      <c r="J176" s="748" t="s">
        <v>1253</v>
      </c>
      <c r="L176" s="748">
        <f>'Part I-Project Information'!L147</f>
        <v>0</v>
      </c>
      <c r="M176" s="748" t="s">
        <v>3471</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 customHeight="1"/>
    <row r="185" spans="2:16" ht="13.15" customHeight="1">
      <c r="B185" s="748" t="s">
        <v>2762</v>
      </c>
      <c r="C185" s="748" t="s">
        <v>2373</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Yes</v>
      </c>
      <c r="L189" s="748" t="s">
        <v>2289</v>
      </c>
      <c r="P189" s="748" t="str">
        <f>'Part I-Project Information'!P160</f>
        <v>No</v>
      </c>
    </row>
    <row r="190" spans="2:16" ht="12.6" customHeight="1">
      <c r="C190" s="748" t="s">
        <v>2376</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t="str">
        <f>'Part I-Project Information'!I163</f>
        <v>No</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3436</v>
      </c>
      <c r="I197" s="748">
        <f>'Part I-Project Information'!I168</f>
        <v>41639</v>
      </c>
    </row>
    <row r="198" spans="1:12" ht="1.9" customHeight="1"/>
    <row r="199" spans="1:12" ht="12" customHeight="1">
      <c r="A199" s="748" t="s">
        <v>2752</v>
      </c>
      <c r="C199" s="748" t="s">
        <v>879</v>
      </c>
      <c r="K199" s="748" t="s">
        <v>3381</v>
      </c>
      <c r="L199" s="748" t="s">
        <v>89</v>
      </c>
    </row>
    <row r="200" spans="1:12" ht="38.450000000000003" customHeight="1">
      <c r="A200" s="748" t="str">
        <f>'Part I-Project Information'!A171</f>
        <v>The Veteran Senior Housing - Assisted Living is the first Affordable Assisted Living Community in DeKalb County.  The site is located in a stable community with a poverty rate of 13.1 percent.  The site is located with 5 miles of the VA Medical and Administration Office for Atlanta, GA</v>
      </c>
      <c r="K200" s="748">
        <f>'Part I-Project Information'!K171</f>
        <v>0</v>
      </c>
    </row>
    <row r="201" spans="1:12" ht="38.450000000000003" customHeight="1">
      <c r="A201" s="748" t="str">
        <f>'Part I-Project Information'!A172</f>
        <v>The Veteran Senior Housing - Assisted Living submitted and received Special Land Use Permit (SLUP) under the OCR Zoning Ordinance, to construct a four-story Veteran Senior Housing - Assisted Living Facility.</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2011-012 Veteran Senior Housing - Assisted Living, , City of Cairo Development Authority County</v>
      </c>
    </row>
    <row r="206" spans="1:12" ht="12" customHeight="1"/>
    <row r="207" spans="1:12" ht="13.15" customHeight="1">
      <c r="A207" s="748" t="s">
        <v>950</v>
      </c>
      <c r="B207" s="748" t="s">
        <v>2913</v>
      </c>
    </row>
    <row r="208" spans="1:12" ht="8.4499999999999993" customHeight="1"/>
    <row r="209" spans="2:17" ht="12.6" customHeight="1">
      <c r="B209" s="748" t="s">
        <v>3060</v>
      </c>
      <c r="C209" s="748" t="s">
        <v>2909</v>
      </c>
      <c r="H209" s="748" t="str">
        <f>'Part II-Development Team'!H5</f>
        <v>3644 Memorial Senior I LP</v>
      </c>
      <c r="O209" s="748" t="s">
        <v>3067</v>
      </c>
      <c r="Q209" s="748" t="str">
        <f>'Part II-Development Team'!Q5</f>
        <v>Egbert Perry</v>
      </c>
    </row>
    <row r="210" spans="2:17" ht="12.6" customHeight="1">
      <c r="E210" s="748" t="s">
        <v>1641</v>
      </c>
      <c r="H210" s="748" t="str">
        <f>'Part II-Development Team'!H6</f>
        <v>60 Piedmont Avenue NE</v>
      </c>
      <c r="O210" s="748" t="s">
        <v>2775</v>
      </c>
      <c r="Q210" s="748" t="str">
        <f>'Part II-Development Team'!Q6</f>
        <v>CEO</v>
      </c>
    </row>
    <row r="211" spans="2:17" ht="12.6" customHeight="1">
      <c r="E211" s="748" t="s">
        <v>953</v>
      </c>
      <c r="H211" s="748" t="str">
        <f>'Part II-Development Team'!H7</f>
        <v>Atlanta</v>
      </c>
      <c r="K211" s="748" t="s">
        <v>1254</v>
      </c>
      <c r="L211" s="748">
        <f>'Part II-Development Team'!L7</f>
        <v>0</v>
      </c>
      <c r="O211" s="748" t="s">
        <v>2834</v>
      </c>
      <c r="Q211" s="748">
        <f>'Part II-Development Team'!Q7</f>
        <v>4042241861</v>
      </c>
    </row>
    <row r="212" spans="2:17" ht="12.6" customHeight="1">
      <c r="E212" s="748" t="s">
        <v>2830</v>
      </c>
      <c r="H212" s="748" t="str">
        <f>'Part II-Development Team'!H8</f>
        <v>GA</v>
      </c>
      <c r="I212" s="748" t="s">
        <v>4084</v>
      </c>
      <c r="J212" s="748">
        <f>'Part II-Development Team'!J8</f>
        <v>303030000</v>
      </c>
      <c r="L212" s="748" t="s">
        <v>4085</v>
      </c>
      <c r="N212" s="748">
        <f>'Part II-Development Team'!N8</f>
        <v>0</v>
      </c>
      <c r="O212" s="748" t="s">
        <v>3056</v>
      </c>
      <c r="Q212" s="748">
        <f>'Part II-Development Team'!Q8</f>
        <v>0</v>
      </c>
    </row>
    <row r="213" spans="2:17" ht="12.6" customHeight="1">
      <c r="E213" s="748" t="s">
        <v>3062</v>
      </c>
      <c r="H213" s="748">
        <f>'Part II-Development Team'!H9</f>
        <v>4042241860</v>
      </c>
      <c r="J213" s="748">
        <f>'Part II-Development Team'!J9</f>
        <v>1861</v>
      </c>
      <c r="K213" s="748" t="s">
        <v>2833</v>
      </c>
      <c r="L213" s="748">
        <f>'Part II-Development Team'!L9</f>
        <v>4042241899</v>
      </c>
      <c r="N213" s="748" t="s">
        <v>3061</v>
      </c>
      <c r="O213" s="748" t="str">
        <f>'Part II-Development Team'!O9</f>
        <v>eperry@integral-online.com</v>
      </c>
    </row>
    <row r="214" spans="2:17" ht="13.15" customHeight="1">
      <c r="E214" s="748" t="s">
        <v>997</v>
      </c>
      <c r="L214" s="748" t="s">
        <v>1214</v>
      </c>
    </row>
    <row r="215" spans="2:17" ht="4.1500000000000004" customHeight="1"/>
    <row r="216" spans="2:17" ht="13.15" customHeight="1">
      <c r="B216" s="748" t="s">
        <v>3063</v>
      </c>
      <c r="C216" s="748" t="s">
        <v>2910</v>
      </c>
      <c r="L216" s="748" t="s">
        <v>1971</v>
      </c>
      <c r="O216" s="748" t="s">
        <v>1972</v>
      </c>
    </row>
    <row r="217" spans="2:17" ht="4.1500000000000004" customHeight="1"/>
    <row r="218" spans="2:17" ht="13.15" customHeight="1">
      <c r="C218" s="748" t="s">
        <v>3064</v>
      </c>
      <c r="D218" s="748" t="s">
        <v>3065</v>
      </c>
      <c r="L218" s="748" t="s">
        <v>1975</v>
      </c>
      <c r="O218" s="748" t="s">
        <v>1970</v>
      </c>
    </row>
    <row r="219" spans="2:17" ht="4.1500000000000004" customHeight="1"/>
    <row r="220" spans="2:17" ht="12.6" customHeight="1">
      <c r="D220" s="748" t="s">
        <v>3213</v>
      </c>
      <c r="E220" s="748" t="s">
        <v>2911</v>
      </c>
      <c r="H220" s="748" t="str">
        <f>'Part II-Development Team'!H16</f>
        <v>3644 Memorial Senior I GP LLC</v>
      </c>
      <c r="O220" s="748" t="s">
        <v>3067</v>
      </c>
      <c r="Q220" s="748" t="str">
        <f>'Part II-Development Team'!Q16</f>
        <v>Egbert Perry</v>
      </c>
    </row>
    <row r="221" spans="2:17" ht="12.6" customHeight="1">
      <c r="E221" s="748" t="s">
        <v>1641</v>
      </c>
      <c r="H221" s="748" t="str">
        <f>'Part II-Development Team'!H17</f>
        <v>60 Piedmont Avenue NE</v>
      </c>
      <c r="O221" s="748" t="s">
        <v>2775</v>
      </c>
      <c r="Q221" s="748" t="str">
        <f>'Part II-Development Team'!Q17</f>
        <v>CEO</v>
      </c>
    </row>
    <row r="222" spans="2:17" ht="12.6" customHeight="1">
      <c r="E222" s="748" t="s">
        <v>953</v>
      </c>
      <c r="H222" s="748" t="str">
        <f>'Part II-Development Team'!H18</f>
        <v>Atlanta</v>
      </c>
      <c r="O222" s="748" t="s">
        <v>2834</v>
      </c>
      <c r="Q222" s="748">
        <f>'Part II-Development Team'!Q18</f>
        <v>4042241861</v>
      </c>
    </row>
    <row r="223" spans="2:17" ht="12.6" customHeight="1">
      <c r="E223" s="748" t="s">
        <v>2830</v>
      </c>
      <c r="H223" s="748" t="str">
        <f>'Part II-Development Team'!H19</f>
        <v>GA</v>
      </c>
      <c r="I223" s="748" t="s">
        <v>4084</v>
      </c>
      <c r="J223" s="748">
        <f>'Part II-Development Team'!J19</f>
        <v>303030000</v>
      </c>
      <c r="L223" s="748" t="s">
        <v>4085</v>
      </c>
      <c r="N223" s="748">
        <f>'Part II-Development Team'!N19</f>
        <v>0</v>
      </c>
      <c r="O223" s="748" t="s">
        <v>3056</v>
      </c>
      <c r="Q223" s="748">
        <f>'Part II-Development Team'!Q19</f>
        <v>0</v>
      </c>
    </row>
    <row r="224" spans="2:17" ht="12.6" customHeight="1">
      <c r="E224" s="748" t="s">
        <v>3062</v>
      </c>
      <c r="H224" s="748">
        <f>'Part II-Development Team'!H20</f>
        <v>4042251860</v>
      </c>
      <c r="J224" s="748">
        <f>'Part II-Development Team'!J20</f>
        <v>1861</v>
      </c>
      <c r="K224" s="748" t="s">
        <v>2833</v>
      </c>
      <c r="L224" s="748">
        <f>'Part II-Development Team'!L20</f>
        <v>4042241899</v>
      </c>
      <c r="N224" s="748" t="s">
        <v>3061</v>
      </c>
      <c r="O224" s="748" t="str">
        <f>'Part II-Development Team'!O20</f>
        <v>eperry@integral-online.com</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2761</v>
      </c>
      <c r="E232" s="748" t="s">
        <v>2912</v>
      </c>
      <c r="H232" s="748">
        <f>'Part II-Development Team'!H28</f>
        <v>0</v>
      </c>
      <c r="O232" s="748" t="s">
        <v>3067</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1239</v>
      </c>
      <c r="H240" s="748" t="str">
        <f>'Part II-Development Team'!H36</f>
        <v>RBC Capital Markets</v>
      </c>
      <c r="O240" s="748" t="s">
        <v>3067</v>
      </c>
      <c r="Q240" s="748" t="str">
        <f>'Part II-Development Team'!Q36</f>
        <v>Brian C. Flanagan</v>
      </c>
    </row>
    <row r="241" spans="3:17" ht="12.6" customHeight="1">
      <c r="E241" s="748" t="s">
        <v>1641</v>
      </c>
      <c r="H241" s="748" t="str">
        <f>'Part II-Development Team'!H37</f>
        <v>2101 Rexford Road, Suite 375W</v>
      </c>
      <c r="O241" s="748" t="s">
        <v>2775</v>
      </c>
      <c r="Q241" s="748" t="str">
        <f>'Part II-Development Team'!Q37</f>
        <v>Regional Director</v>
      </c>
    </row>
    <row r="242" spans="3:17" ht="12.6" customHeight="1">
      <c r="E242" s="748" t="s">
        <v>953</v>
      </c>
      <c r="H242" s="748" t="str">
        <f>'Part II-Development Team'!H38</f>
        <v>Charlotte</v>
      </c>
      <c r="O242" s="748" t="s">
        <v>2834</v>
      </c>
      <c r="Q242" s="748">
        <f>'Part II-Development Team'!Q38</f>
        <v>9802336462</v>
      </c>
    </row>
    <row r="243" spans="3:17" ht="12.6" customHeight="1">
      <c r="E243" s="748" t="s">
        <v>2830</v>
      </c>
      <c r="H243" s="748" t="str">
        <f>'Part II-Development Team'!H39</f>
        <v>NC</v>
      </c>
      <c r="I243" s="748" t="s">
        <v>3354</v>
      </c>
      <c r="J243" s="748">
        <f>'Part II-Development Team'!J39</f>
        <v>282110000</v>
      </c>
      <c r="O243" s="748" t="s">
        <v>3056</v>
      </c>
      <c r="Q243" s="748">
        <f>'Part II-Development Team'!Q39</f>
        <v>0</v>
      </c>
    </row>
    <row r="244" spans="3:17" ht="12.6" customHeight="1">
      <c r="E244" s="748" t="s">
        <v>3062</v>
      </c>
      <c r="H244" s="748">
        <f>'Part II-Development Team'!H40</f>
        <v>9802336462</v>
      </c>
      <c r="J244" s="748">
        <f>'Part II-Development Team'!J40</f>
        <v>0</v>
      </c>
      <c r="K244" s="748" t="s">
        <v>2833</v>
      </c>
      <c r="L244" s="748">
        <f>'Part II-Development Team'!L40</f>
        <v>0</v>
      </c>
      <c r="N244" s="748" t="s">
        <v>3061</v>
      </c>
      <c r="O244" s="748" t="str">
        <f>'Part II-Development Team'!O40</f>
        <v>brian.flanagan@rbc.com</v>
      </c>
    </row>
    <row r="245" spans="3:17" ht="4.1500000000000004" customHeight="1"/>
    <row r="246" spans="3:17" ht="12.6" customHeight="1">
      <c r="D246" s="748" t="s">
        <v>3214</v>
      </c>
      <c r="E246" s="748" t="s">
        <v>1240</v>
      </c>
      <c r="H246" s="748" t="str">
        <f>'Part II-Development Team'!H42</f>
        <v>RBC Capital Markets</v>
      </c>
      <c r="O246" s="748" t="s">
        <v>3067</v>
      </c>
      <c r="Q246" s="748" t="str">
        <f>'Part II-Development Team'!Q42</f>
        <v>Brian C. Flanagan</v>
      </c>
    </row>
    <row r="247" spans="3:17" ht="12.6" customHeight="1">
      <c r="E247" s="748" t="s">
        <v>1641</v>
      </c>
      <c r="H247" s="748" t="str">
        <f>'Part II-Development Team'!H43</f>
        <v>2101 Rexford Road, Suite 375W</v>
      </c>
      <c r="O247" s="748" t="s">
        <v>2775</v>
      </c>
      <c r="Q247" s="748" t="str">
        <f>'Part II-Development Team'!Q43</f>
        <v>Regional Director</v>
      </c>
    </row>
    <row r="248" spans="3:17" ht="12.6" customHeight="1">
      <c r="E248" s="748" t="s">
        <v>953</v>
      </c>
      <c r="H248" s="748" t="str">
        <f>'Part II-Development Team'!H44</f>
        <v>Charlotte</v>
      </c>
      <c r="O248" s="748" t="s">
        <v>2834</v>
      </c>
      <c r="Q248" s="748">
        <f>'Part II-Development Team'!Q44</f>
        <v>9802336462</v>
      </c>
    </row>
    <row r="249" spans="3:17" ht="12.6" customHeight="1">
      <c r="E249" s="748" t="s">
        <v>2830</v>
      </c>
      <c r="H249" s="748" t="str">
        <f>'Part II-Development Team'!H45</f>
        <v>NC</v>
      </c>
      <c r="I249" s="748" t="s">
        <v>3354</v>
      </c>
      <c r="J249" s="748">
        <f>'Part II-Development Team'!J45</f>
        <v>282110000</v>
      </c>
      <c r="O249" s="748" t="s">
        <v>3056</v>
      </c>
      <c r="Q249" s="748">
        <f>'Part II-Development Team'!Q45</f>
        <v>0</v>
      </c>
    </row>
    <row r="250" spans="3:17" ht="12.6" customHeight="1">
      <c r="E250" s="748" t="s">
        <v>3062</v>
      </c>
      <c r="H250" s="748">
        <f>'Part II-Development Team'!H46</f>
        <v>9802336462</v>
      </c>
      <c r="J250" s="748">
        <f>'Part II-Development Team'!J46</f>
        <v>0</v>
      </c>
      <c r="K250" s="748" t="s">
        <v>2833</v>
      </c>
      <c r="L250" s="748">
        <f>'Part II-Development Team'!L46</f>
        <v>0</v>
      </c>
      <c r="N250" s="748" t="s">
        <v>3061</v>
      </c>
      <c r="O250" s="748" t="str">
        <f>'Part II-Development Team'!O46</f>
        <v>brian.flanagan@rbc.com</v>
      </c>
    </row>
    <row r="251" spans="3:17" ht="4.1500000000000004" customHeight="1"/>
    <row r="252" spans="3:17" ht="13.15" customHeight="1">
      <c r="C252" s="748" t="s">
        <v>3823</v>
      </c>
      <c r="D252" s="748" t="s">
        <v>994</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1229</v>
      </c>
      <c r="B260" s="748" t="s">
        <v>995</v>
      </c>
    </row>
    <row r="261" spans="1:17" ht="9" customHeight="1"/>
    <row r="262" spans="1:17" ht="13.15" customHeight="1">
      <c r="B262" s="748" t="s">
        <v>3060</v>
      </c>
      <c r="C262" s="748" t="s">
        <v>375</v>
      </c>
      <c r="H262" s="748" t="str">
        <f>'Part II-Development Team'!H58</f>
        <v>Integral Development LLC</v>
      </c>
      <c r="O262" s="748" t="s">
        <v>3067</v>
      </c>
      <c r="Q262" s="748" t="str">
        <f>'Part II-Development Team'!Q58</f>
        <v>Vicki Lundy Wilbon</v>
      </c>
    </row>
    <row r="263" spans="1:17" ht="13.15" customHeight="1">
      <c r="E263" s="748" t="s">
        <v>1641</v>
      </c>
      <c r="H263" s="748" t="str">
        <f>'Part II-Development Team'!H59</f>
        <v>60 Piedmont Avenue NE</v>
      </c>
      <c r="O263" s="748" t="s">
        <v>2775</v>
      </c>
      <c r="Q263" s="748" t="str">
        <f>'Part II-Development Team'!Q59</f>
        <v>President &amp; COO</v>
      </c>
    </row>
    <row r="264" spans="1:17" ht="13.15" customHeight="1">
      <c r="E264" s="748" t="s">
        <v>953</v>
      </c>
      <c r="H264" s="748" t="str">
        <f>'Part II-Development Team'!H60</f>
        <v>Atlanta</v>
      </c>
      <c r="O264" s="748" t="s">
        <v>2834</v>
      </c>
      <c r="Q264" s="748">
        <f>'Part II-Development Team'!Q60</f>
        <v>4042241882</v>
      </c>
    </row>
    <row r="265" spans="1:17" ht="13.15" customHeight="1">
      <c r="E265" s="748" t="s">
        <v>2830</v>
      </c>
      <c r="H265" s="748" t="str">
        <f>'Part II-Development Team'!H61</f>
        <v>GA</v>
      </c>
      <c r="I265" s="748" t="s">
        <v>3354</v>
      </c>
      <c r="J265" s="748">
        <f>'Part II-Development Team'!J61</f>
        <v>303030000</v>
      </c>
      <c r="O265" s="748" t="s">
        <v>3056</v>
      </c>
      <c r="Q265" s="748">
        <f>'Part II-Development Team'!Q61</f>
        <v>4042297238</v>
      </c>
    </row>
    <row r="266" spans="1:17" ht="13.15" customHeight="1">
      <c r="E266" s="748" t="s">
        <v>3062</v>
      </c>
      <c r="H266" s="748">
        <f>'Part II-Development Team'!H62</f>
        <v>4042241860</v>
      </c>
      <c r="J266" s="748">
        <f>'Part II-Development Team'!J62</f>
        <v>1882</v>
      </c>
      <c r="K266" s="748" t="s">
        <v>2833</v>
      </c>
      <c r="L266" s="748">
        <f>'Part II-Development Team'!L62</f>
        <v>4042241899</v>
      </c>
      <c r="N266" s="748" t="s">
        <v>3061</v>
      </c>
      <c r="O266" s="748" t="str">
        <f>'Part II-Development Team'!O62</f>
        <v>vlwilbon@integral-online.com</v>
      </c>
    </row>
    <row r="267" spans="1:17" ht="6.6" customHeight="1"/>
    <row r="268" spans="1:17" ht="13.15" customHeight="1">
      <c r="B268" s="748" t="s">
        <v>3063</v>
      </c>
      <c r="C268" s="748" t="s">
        <v>376</v>
      </c>
      <c r="H268" s="748">
        <f>'Part II-Development Team'!H64</f>
        <v>0</v>
      </c>
      <c r="O268" s="748" t="s">
        <v>3067</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1238</v>
      </c>
      <c r="C274" s="748" t="s">
        <v>2279</v>
      </c>
      <c r="H274" s="748">
        <f>'Part II-Development Team'!H70</f>
        <v>0</v>
      </c>
      <c r="O274" s="748" t="s">
        <v>3067</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377</v>
      </c>
      <c r="H280" s="748">
        <f>'Part II-Development Team'!H76</f>
        <v>0</v>
      </c>
      <c r="O280" s="748" t="s">
        <v>3067</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2834</v>
      </c>
      <c r="Q282" s="748">
        <f>'Part II-Development Team'!Q78</f>
        <v>0</v>
      </c>
    </row>
    <row r="283" spans="1:17" ht="13.15" customHeight="1">
      <c r="E283" s="748" t="s">
        <v>2830</v>
      </c>
      <c r="H283" s="748">
        <f>'Part II-Development Team'!H79</f>
        <v>0</v>
      </c>
      <c r="I283" s="748" t="s">
        <v>3354</v>
      </c>
      <c r="J283" s="748">
        <f>'Part II-Development Team'!J79</f>
        <v>0</v>
      </c>
      <c r="O283" s="748" t="s">
        <v>3056</v>
      </c>
      <c r="Q283" s="748">
        <f>'Part II-Development Team'!Q79</f>
        <v>0</v>
      </c>
    </row>
    <row r="284" spans="1:17" ht="13.15" customHeight="1">
      <c r="E284" s="748" t="s">
        <v>3062</v>
      </c>
      <c r="H284" s="748">
        <f>'Part II-Development Team'!H80</f>
        <v>0</v>
      </c>
      <c r="J284" s="748">
        <f>'Part II-Development Team'!J80</f>
        <v>0</v>
      </c>
      <c r="K284" s="748" t="s">
        <v>2833</v>
      </c>
      <c r="L284" s="748">
        <f>'Part II-Development Team'!L80</f>
        <v>0</v>
      </c>
      <c r="N284" s="748" t="s">
        <v>3061</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3060</v>
      </c>
      <c r="C288" s="748" t="s">
        <v>379</v>
      </c>
      <c r="H288" s="748">
        <f>'Part II-Development Team'!H84</f>
        <v>0</v>
      </c>
      <c r="O288" s="748" t="s">
        <v>3067</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380</v>
      </c>
      <c r="H294" s="748" t="str">
        <f>'Part II-Development Team'!H90</f>
        <v>IBG Construction Services LLC</v>
      </c>
      <c r="O294" s="748" t="s">
        <v>3067</v>
      </c>
      <c r="Q294" s="748" t="str">
        <f>'Part II-Development Team'!Q90</f>
        <v>Kenneth Chestnut</v>
      </c>
    </row>
    <row r="295" spans="2:17" ht="13.15" customHeight="1">
      <c r="E295" s="748" t="s">
        <v>1641</v>
      </c>
      <c r="H295" s="748" t="str">
        <f>'Part II-Development Team'!H91</f>
        <v>100 Auburn Avenue NE Suite 200</v>
      </c>
      <c r="O295" s="748" t="s">
        <v>2775</v>
      </c>
      <c r="Q295" s="748" t="str">
        <f>'Part II-Development Team'!Q91</f>
        <v>COO</v>
      </c>
    </row>
    <row r="296" spans="2:17" ht="13.15" customHeight="1">
      <c r="E296" s="748" t="s">
        <v>953</v>
      </c>
      <c r="H296" s="748" t="str">
        <f>'Part II-Development Team'!H92</f>
        <v>Atlanta</v>
      </c>
      <c r="O296" s="748" t="s">
        <v>2834</v>
      </c>
      <c r="Q296" s="748">
        <f>'Part II-Development Team'!Q92</f>
        <v>4042241871</v>
      </c>
    </row>
    <row r="297" spans="2:17" ht="13.15" customHeight="1">
      <c r="E297" s="748" t="s">
        <v>2830</v>
      </c>
      <c r="H297" s="748" t="str">
        <f>'Part II-Development Team'!H93</f>
        <v>GA</v>
      </c>
      <c r="I297" s="748" t="s">
        <v>3354</v>
      </c>
      <c r="J297" s="748">
        <f>'Part II-Development Team'!J93</f>
        <v>303030000</v>
      </c>
      <c r="O297" s="748" t="s">
        <v>3056</v>
      </c>
      <c r="Q297" s="748">
        <f>'Part II-Development Team'!Q93</f>
        <v>0</v>
      </c>
    </row>
    <row r="298" spans="2:17" ht="13.15" customHeight="1">
      <c r="E298" s="748" t="s">
        <v>3062</v>
      </c>
      <c r="H298" s="748">
        <f>'Part II-Development Team'!H94</f>
        <v>4042241871</v>
      </c>
      <c r="J298" s="748">
        <f>'Part II-Development Team'!J94</f>
        <v>0</v>
      </c>
      <c r="K298" s="748" t="s">
        <v>2833</v>
      </c>
      <c r="L298" s="748">
        <f>'Part II-Development Team'!L94</f>
        <v>4042245177</v>
      </c>
      <c r="N298" s="748" t="s">
        <v>3061</v>
      </c>
      <c r="O298" s="748" t="str">
        <f>'Part II-Development Team'!O94</f>
        <v>kchestnut@ibgcs.com</v>
      </c>
    </row>
    <row r="299" spans="2:17" ht="6.6" customHeight="1"/>
    <row r="300" spans="2:17" ht="13.15" customHeight="1">
      <c r="B300" s="748" t="s">
        <v>1238</v>
      </c>
      <c r="C300" s="748" t="s">
        <v>381</v>
      </c>
      <c r="H300" s="748" t="str">
        <f>'Part II-Development Team'!H96</f>
        <v>Integral Property Management LLC</v>
      </c>
      <c r="O300" s="748" t="s">
        <v>3067</v>
      </c>
      <c r="Q300" s="748" t="str">
        <f>'Part II-Development Team'!Q96</f>
        <v>Denise Koehl</v>
      </c>
    </row>
    <row r="301" spans="2:17" ht="13.15" customHeight="1">
      <c r="E301" s="748" t="s">
        <v>1641</v>
      </c>
      <c r="H301" s="748" t="str">
        <f>'Part II-Development Team'!H97</f>
        <v>100 Auburn Avenue NE Suite 200</v>
      </c>
      <c r="O301" s="748" t="s">
        <v>2775</v>
      </c>
      <c r="Q301" s="748" t="str">
        <f>'Part II-Development Team'!Q97</f>
        <v>COO</v>
      </c>
    </row>
    <row r="302" spans="2:17" ht="13.15" customHeight="1">
      <c r="E302" s="748" t="s">
        <v>953</v>
      </c>
      <c r="H302" s="748" t="str">
        <f>'Part II-Development Team'!H98</f>
        <v>Atlanta</v>
      </c>
      <c r="O302" s="748" t="s">
        <v>2834</v>
      </c>
      <c r="Q302" s="748">
        <f>'Part II-Development Team'!Q98</f>
        <v>4045261882</v>
      </c>
    </row>
    <row r="303" spans="2:17" ht="13.15" customHeight="1">
      <c r="E303" s="748" t="s">
        <v>2830</v>
      </c>
      <c r="H303" s="748" t="str">
        <f>'Part II-Development Team'!H99</f>
        <v>GA</v>
      </c>
      <c r="I303" s="748" t="s">
        <v>3354</v>
      </c>
      <c r="J303" s="748">
        <f>'Part II-Development Team'!J99</f>
        <v>303030000</v>
      </c>
      <c r="O303" s="748" t="s">
        <v>3056</v>
      </c>
      <c r="Q303" s="748">
        <f>'Part II-Development Team'!Q99</f>
        <v>0</v>
      </c>
    </row>
    <row r="304" spans="2:17" ht="13.15" customHeight="1">
      <c r="E304" s="748" t="s">
        <v>3062</v>
      </c>
      <c r="H304" s="748">
        <f>'Part II-Development Team'!H100</f>
        <v>4042230588</v>
      </c>
      <c r="J304" s="748">
        <f>'Part II-Development Team'!J100</f>
        <v>0</v>
      </c>
      <c r="K304" s="748" t="s">
        <v>2833</v>
      </c>
      <c r="L304" s="748">
        <f>'Part II-Development Team'!L100</f>
        <v>4042233201</v>
      </c>
      <c r="N304" s="748" t="s">
        <v>3061</v>
      </c>
      <c r="O304" s="748" t="str">
        <f>'Part II-Development Team'!O100</f>
        <v>DKoehl@integral-online.com</v>
      </c>
    </row>
    <row r="305" spans="2:17" ht="6.6" customHeight="1"/>
    <row r="306" spans="2:17" ht="13.15" customHeight="1">
      <c r="B306" s="748" t="s">
        <v>3212</v>
      </c>
      <c r="C306" s="748" t="s">
        <v>382</v>
      </c>
      <c r="H306" s="748" t="str">
        <f>'Part II-Development Team'!H102</f>
        <v>Arnall Golden Gregory</v>
      </c>
      <c r="O306" s="748" t="s">
        <v>3067</v>
      </c>
      <c r="Q306" s="748" t="str">
        <f>'Part II-Development Team'!Q102</f>
        <v>Jonathan Eady</v>
      </c>
    </row>
    <row r="307" spans="2:17" ht="13.15" customHeight="1">
      <c r="E307" s="748" t="s">
        <v>1641</v>
      </c>
      <c r="H307" s="748" t="str">
        <f>'Part II-Development Team'!H103</f>
        <v xml:space="preserve">171 17th Street NW  Suite 2100 </v>
      </c>
      <c r="O307" s="748" t="s">
        <v>2775</v>
      </c>
      <c r="Q307" s="748" t="str">
        <f>'Part II-Development Team'!Q103</f>
        <v>Principal</v>
      </c>
    </row>
    <row r="308" spans="2:17" ht="13.15" customHeight="1">
      <c r="E308" s="748" t="s">
        <v>953</v>
      </c>
      <c r="H308" s="748" t="str">
        <f>'Part II-Development Team'!H104</f>
        <v>Atlanta</v>
      </c>
      <c r="O308" s="748" t="s">
        <v>2834</v>
      </c>
      <c r="Q308" s="748">
        <f>'Part II-Development Team'!Q104</f>
        <v>4048738656</v>
      </c>
    </row>
    <row r="309" spans="2:17" ht="13.15" customHeight="1">
      <c r="E309" s="748" t="s">
        <v>2830</v>
      </c>
      <c r="H309" s="748" t="str">
        <f>'Part II-Development Team'!H105</f>
        <v>GA</v>
      </c>
      <c r="I309" s="748" t="s">
        <v>3354</v>
      </c>
      <c r="J309" s="748">
        <f>'Part II-Development Team'!J105</f>
        <v>303630000</v>
      </c>
      <c r="O309" s="748" t="s">
        <v>3056</v>
      </c>
      <c r="Q309" s="748">
        <f>'Part II-Development Team'!Q105</f>
        <v>0</v>
      </c>
    </row>
    <row r="310" spans="2:17" ht="13.15" customHeight="1">
      <c r="E310" s="748" t="s">
        <v>3062</v>
      </c>
      <c r="H310" s="748">
        <f>'Part II-Development Team'!H106</f>
        <v>4048738656</v>
      </c>
      <c r="J310" s="748">
        <f>'Part II-Development Team'!J106</f>
        <v>0</v>
      </c>
      <c r="K310" s="748" t="s">
        <v>2833</v>
      </c>
      <c r="L310" s="748">
        <f>'Part II-Development Team'!L106</f>
        <v>4048738657</v>
      </c>
      <c r="N310" s="748" t="s">
        <v>3061</v>
      </c>
      <c r="O310" s="748" t="str">
        <f>'Part II-Development Team'!O106</f>
        <v>jonathan.eady@agg.com</v>
      </c>
    </row>
    <row r="311" spans="2:17" ht="6" customHeight="1"/>
    <row r="312" spans="2:17" ht="0.6" customHeight="1"/>
    <row r="313" spans="2:17" ht="13.15" customHeight="1">
      <c r="B313" s="748" t="s">
        <v>2762</v>
      </c>
      <c r="C313" s="748" t="s">
        <v>383</v>
      </c>
      <c r="H313" s="748" t="str">
        <f>'Part II-Development Team'!H109</f>
        <v>Habif, Arogeti &amp; Wynne, L.L.P</v>
      </c>
      <c r="O313" s="748" t="s">
        <v>3067</v>
      </c>
      <c r="Q313" s="748" t="str">
        <f>'Part II-Development Team'!Q109</f>
        <v>Allison Fossyl</v>
      </c>
    </row>
    <row r="314" spans="2:17" ht="13.15" customHeight="1">
      <c r="E314" s="748" t="s">
        <v>1641</v>
      </c>
      <c r="H314" s="748" t="str">
        <f>'Part II-Development Team'!H110</f>
        <v>Five Concourse Parkway, Suite 1000</v>
      </c>
      <c r="O314" s="748" t="s">
        <v>2775</v>
      </c>
      <c r="Q314" s="748" t="str">
        <f>'Part II-Development Team'!Q110</f>
        <v>Senior Manager</v>
      </c>
    </row>
    <row r="315" spans="2:17" ht="13.15" customHeight="1">
      <c r="E315" s="748" t="s">
        <v>953</v>
      </c>
      <c r="H315" s="748" t="str">
        <f>'Part II-Development Team'!H111</f>
        <v>Atlanta</v>
      </c>
      <c r="O315" s="748" t="s">
        <v>2834</v>
      </c>
      <c r="Q315" s="748">
        <f>'Part II-Development Team'!Q111</f>
        <v>7703537115</v>
      </c>
    </row>
    <row r="316" spans="2:17" ht="13.15" customHeight="1">
      <c r="E316" s="748" t="s">
        <v>2830</v>
      </c>
      <c r="H316" s="748" t="str">
        <f>'Part II-Development Team'!H112</f>
        <v>GA</v>
      </c>
      <c r="I316" s="748" t="s">
        <v>3354</v>
      </c>
      <c r="J316" s="748">
        <f>'Part II-Development Team'!J112</f>
        <v>303280000</v>
      </c>
      <c r="O316" s="748" t="s">
        <v>3056</v>
      </c>
      <c r="Q316" s="748">
        <f>'Part II-Development Team'!Q112</f>
        <v>0</v>
      </c>
    </row>
    <row r="317" spans="2:17" ht="13.15" customHeight="1">
      <c r="E317" s="748" t="s">
        <v>3062</v>
      </c>
      <c r="H317" s="748">
        <f>'Part II-Development Team'!H113</f>
        <v>4048929651</v>
      </c>
      <c r="J317" s="748">
        <f>'Part II-Development Team'!J113</f>
        <v>0</v>
      </c>
      <c r="K317" s="748" t="s">
        <v>2833</v>
      </c>
      <c r="L317" s="748">
        <f>'Part II-Development Team'!L113</f>
        <v>7703513271</v>
      </c>
      <c r="N317" s="748" t="s">
        <v>3061</v>
      </c>
      <c r="O317" s="748" t="str">
        <f>'Part II-Development Team'!O113</f>
        <v xml:space="preserve">alison.fossyl@hawcpa.com </v>
      </c>
    </row>
    <row r="318" spans="2:17" ht="6.6" customHeight="1"/>
    <row r="319" spans="2:17" ht="13.15" customHeight="1">
      <c r="B319" s="748" t="s">
        <v>2763</v>
      </c>
      <c r="C319" s="748" t="s">
        <v>384</v>
      </c>
      <c r="H319" s="748" t="str">
        <f>'Part II-Development Team'!H115</f>
        <v>Joe Lancaster</v>
      </c>
      <c r="O319" s="748" t="s">
        <v>3067</v>
      </c>
      <c r="Q319" s="748" t="str">
        <f>'Part II-Development Team'!Q115</f>
        <v>Joe Lancaster</v>
      </c>
    </row>
    <row r="320" spans="2:17" ht="13.15" customHeight="1">
      <c r="E320" s="748" t="s">
        <v>1641</v>
      </c>
      <c r="H320" s="748" t="str">
        <f>'Part II-Development Team'!H116</f>
        <v>255 Village Parkway, Suite 630</v>
      </c>
      <c r="O320" s="748" t="s">
        <v>2775</v>
      </c>
      <c r="Q320" s="748" t="str">
        <f>'Part II-Development Team'!Q116</f>
        <v>Principal</v>
      </c>
    </row>
    <row r="321" spans="1:18" ht="13.15" customHeight="1">
      <c r="E321" s="748" t="s">
        <v>953</v>
      </c>
      <c r="H321" s="748" t="str">
        <f>'Part II-Development Team'!H117</f>
        <v>Marietta</v>
      </c>
      <c r="O321" s="748" t="s">
        <v>2834</v>
      </c>
      <c r="Q321" s="748">
        <f>'Part II-Development Team'!Q117</f>
        <v>7709552421</v>
      </c>
    </row>
    <row r="322" spans="1:18" ht="13.15" customHeight="1">
      <c r="E322" s="748" t="s">
        <v>2830</v>
      </c>
      <c r="H322" s="748" t="str">
        <f>'Part II-Development Team'!H118</f>
        <v>GA</v>
      </c>
      <c r="I322" s="748" t="s">
        <v>3354</v>
      </c>
      <c r="J322" s="748">
        <f>'Part II-Development Team'!J118</f>
        <v>300670000</v>
      </c>
      <c r="O322" s="748" t="s">
        <v>3056</v>
      </c>
      <c r="Q322" s="748">
        <f>'Part II-Development Team'!Q118</f>
        <v>0</v>
      </c>
    </row>
    <row r="323" spans="1:18" ht="13.15" customHeight="1">
      <c r="E323" s="748" t="s">
        <v>3062</v>
      </c>
      <c r="H323" s="748">
        <f>'Part II-Development Team'!H119</f>
        <v>7709552421</v>
      </c>
      <c r="J323" s="748">
        <f>'Part II-Development Team'!J119</f>
        <v>0</v>
      </c>
      <c r="K323" s="748" t="s">
        <v>2833</v>
      </c>
      <c r="L323" s="748">
        <f>'Part II-Development Team'!L119</f>
        <v>7709552480</v>
      </c>
      <c r="N323" s="748" t="s">
        <v>3061</v>
      </c>
      <c r="O323" s="748" t="str">
        <f>'Part II-Development Team'!O119</f>
        <v>Jlancaster@jlainc.com</v>
      </c>
    </row>
    <row r="324" spans="1:18" ht="13.15" customHeight="1"/>
    <row r="325" spans="1:18" ht="13.15" customHeight="1">
      <c r="A325" s="748" t="s">
        <v>2823</v>
      </c>
      <c r="B325" s="748" t="s">
        <v>365</v>
      </c>
    </row>
    <row r="326" spans="1:18" ht="6.6" customHeight="1"/>
    <row r="327" spans="1:18" ht="21.6" customHeight="1">
      <c r="A327" s="748" t="s">
        <v>976</v>
      </c>
      <c r="E327" s="748" t="s">
        <v>4086</v>
      </c>
      <c r="F327" s="748" t="s">
        <v>3601</v>
      </c>
      <c r="G327" s="748" t="s">
        <v>4087</v>
      </c>
      <c r="J327" s="748" t="s">
        <v>4088</v>
      </c>
      <c r="L327" s="748" t="s">
        <v>4089</v>
      </c>
      <c r="N327" s="748" t="s">
        <v>4090</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Yes</v>
      </c>
      <c r="G332" s="748" t="str">
        <f>'Part II-Development Team'!G128</f>
        <v>No</v>
      </c>
      <c r="J332" s="748" t="str">
        <f>'Part II-Development Team'!J128</f>
        <v>Yes</v>
      </c>
      <c r="L332" s="748" t="str">
        <f>'Part II-Development Team'!L128</f>
        <v>No</v>
      </c>
      <c r="N332" s="748" t="str">
        <f>'Part II-Development Team'!N128</f>
        <v>No</v>
      </c>
      <c r="P332" s="748">
        <f>'Part II-Development Team'!P128</f>
        <v>0</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f>'Part II-Development Team'!P131</f>
        <v>0</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f>'Part II-Development Team'!P132</f>
        <v>0</v>
      </c>
      <c r="R336" s="748">
        <f>'Part II-Development Team'!R132</f>
        <v>0.01</v>
      </c>
    </row>
    <row r="337" spans="1:18" ht="13.9"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996</v>
      </c>
      <c r="E338" s="748" t="str">
        <f>'Part II-Development Team'!E134</f>
        <v>No</v>
      </c>
      <c r="F338" s="748" t="str">
        <f>'Part II-Development Team'!F134</f>
        <v>Yes</v>
      </c>
      <c r="G338" s="748" t="str">
        <f>'Part II-Development Team'!G134</f>
        <v>No</v>
      </c>
      <c r="J338" s="748" t="str">
        <f>'Part II-Development Team'!J134</f>
        <v>Yes</v>
      </c>
      <c r="L338" s="748" t="str">
        <f>'Part II-Development Team'!L134</f>
        <v>No</v>
      </c>
      <c r="N338" s="748" t="str">
        <f>'Part II-Development Team'!N134</f>
        <v>No</v>
      </c>
      <c r="P338" s="748">
        <f>'Part II-Development Team'!P134</f>
        <v>0</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Yes</v>
      </c>
      <c r="G343" s="748" t="str">
        <f>'Part II-Development Team'!G139</f>
        <v>No</v>
      </c>
      <c r="J343" s="748" t="str">
        <f>'Part II-Development Team'!J139</f>
        <v>Yes</v>
      </c>
      <c r="L343" s="748" t="str">
        <f>'Part II-Development Team'!L139</f>
        <v>No</v>
      </c>
      <c r="N343" s="748" t="str">
        <f>'Part II-Development Team'!N139</f>
        <v>No</v>
      </c>
      <c r="P343" s="748">
        <f>'Part II-Development Team'!P139</f>
        <v>0</v>
      </c>
      <c r="R343" s="748">
        <f>'Part II-Development Team'!R139</f>
        <v>0</v>
      </c>
    </row>
    <row r="344" spans="1:18" ht="13.9" customHeight="1">
      <c r="A344" s="748" t="s">
        <v>3534</v>
      </c>
      <c r="E344" s="748" t="str">
        <f>'Part II-Development Team'!E140</f>
        <v>No</v>
      </c>
      <c r="F344" s="748" t="str">
        <f>'Part II-Development Team'!F140</f>
        <v>Yes</v>
      </c>
      <c r="G344" s="748" t="str">
        <f>'Part II-Development Team'!G140</f>
        <v>No</v>
      </c>
      <c r="J344" s="748" t="str">
        <f>'Part II-Development Team'!J140</f>
        <v>Yes</v>
      </c>
      <c r="L344" s="748" t="str">
        <f>'Part II-Development Team'!L140</f>
        <v>No</v>
      </c>
      <c r="N344" s="748" t="str">
        <f>'Part II-Development Team'!N140</f>
        <v>No</v>
      </c>
      <c r="P344" s="748">
        <f>'Part II-Development Team'!P140</f>
        <v>0</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The General Contractor and Management Company have an Identity of Interest with the Managing General Partner and Developer through their affiliation with The Integral Group LLC.</v>
      </c>
      <c r="N349" s="748">
        <f>'Part II-Development Team'!N145</f>
        <v>0</v>
      </c>
    </row>
    <row r="350" spans="1:18" ht="42.6" customHeight="1">
      <c r="A350" s="748" t="str">
        <f>'Part II-Development Team'!A146</f>
        <v>RBC will acquire 98.99% interest in the LIHTC, RBC Tax Credit Manager II, Inc. (“RBC Manager”) will acquire a .001% interest in the LIHTC, RBC State Credit Partner, its successors and assigns, will acquire 100% of the STC, as well as 1% of the LIHTC (collectively, the “Interest”) in the Partnership. The LOI is included in Tab 5</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2011-012 Veteran Senior Housing - Assisted Living, Decatur, DeKalb County</v>
      </c>
    </row>
    <row r="356" spans="1:16">
      <c r="A356" s="748" t="s">
        <v>950</v>
      </c>
      <c r="B356" s="748" t="s">
        <v>3771</v>
      </c>
    </row>
    <row r="358" spans="1:16">
      <c r="B358" s="748" t="str">
        <f>'Part III A-Sources of Funds'!B5</f>
        <v>Yes</v>
      </c>
      <c r="C358" s="748" t="s">
        <v>3653</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3312</v>
      </c>
      <c r="J359" s="748">
        <f>'Part III A-Sources of Funds'!J6</f>
        <v>0</v>
      </c>
      <c r="K359" s="748" t="s">
        <v>846</v>
      </c>
      <c r="M359" s="748">
        <f>'Part III A-Sources of Funds'!M6</f>
        <v>0</v>
      </c>
      <c r="N359" s="748" t="s">
        <v>844</v>
      </c>
    </row>
    <row r="360" spans="1:16">
      <c r="B360" s="748">
        <f>'Part III A-Sources of Funds'!B7</f>
        <v>0</v>
      </c>
      <c r="C360" s="748" t="s">
        <v>2836</v>
      </c>
      <c r="E360" s="748" t="str">
        <f>'Part III A-Sources of Funds'!E7</f>
        <v>Yes</v>
      </c>
      <c r="F360" s="748" t="s">
        <v>3311</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3915</v>
      </c>
      <c r="E361" s="748">
        <f>'Part III A-Sources of Funds'!E8</f>
        <v>0</v>
      </c>
      <c r="F361" s="748" t="s">
        <v>3916</v>
      </c>
      <c r="H361" s="748">
        <f>'Part III A-Sources of Funds'!H8</f>
        <v>0</v>
      </c>
      <c r="I361" s="748" t="s">
        <v>3654</v>
      </c>
      <c r="J361" s="748">
        <f>'Part III A-Sources of Funds'!J8</f>
        <v>0</v>
      </c>
      <c r="K361" s="748" t="s">
        <v>874</v>
      </c>
      <c r="M361" s="748">
        <f>'Part III A-Sources of Funds'!M8</f>
        <v>0</v>
      </c>
      <c r="N361" s="748" t="s">
        <v>3232</v>
      </c>
    </row>
    <row r="362" spans="1:16">
      <c r="B362" s="748" t="s">
        <v>310</v>
      </c>
    </row>
    <row r="364" spans="1:16">
      <c r="A364" s="748" t="s">
        <v>1229</v>
      </c>
      <c r="B364" s="748" t="s">
        <v>3495</v>
      </c>
    </row>
    <row r="366" spans="1:16">
      <c r="B366" s="748" t="s">
        <v>2927</v>
      </c>
      <c r="H366" s="748" t="s">
        <v>1997</v>
      </c>
      <c r="L366" s="748" t="s">
        <v>3068</v>
      </c>
      <c r="N366" s="748" t="s">
        <v>2257</v>
      </c>
      <c r="P366" s="748" t="s">
        <v>2536</v>
      </c>
    </row>
    <row r="367" spans="1:16">
      <c r="B367" s="748" t="s">
        <v>2347</v>
      </c>
      <c r="H367" s="748" t="str">
        <f>'Part III A-Sources of Funds'!H14</f>
        <v>DeKalb County HOME Loan</v>
      </c>
      <c r="L367" s="748">
        <f>'Part III A-Sources of Funds'!L14</f>
        <v>500000</v>
      </c>
      <c r="N367" s="748">
        <f>'Part III A-Sources of Funds'!N14</f>
        <v>0</v>
      </c>
      <c r="P367" s="748">
        <f>'Part III A-Sources of Funds'!P14</f>
        <v>24</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RBC Capital Market</v>
      </c>
      <c r="L373" s="748">
        <f>'Part III A-Sources of Funds'!L20</f>
        <v>3532191</v>
      </c>
    </row>
    <row r="374" spans="1:17">
      <c r="B374" s="748" t="s">
        <v>1385</v>
      </c>
      <c r="H374" s="748" t="str">
        <f>'Part III A-Sources of Funds'!H21</f>
        <v>RBC Capital Market</v>
      </c>
      <c r="L374" s="748">
        <f>'Part III A-Sources of Funds'!L21</f>
        <v>1774705</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5806896</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5806895.9727609996</v>
      </c>
    </row>
    <row r="380" spans="1:17">
      <c r="B380" s="748" t="s">
        <v>3261</v>
      </c>
      <c r="L380" s="748">
        <f>L378-L379</f>
        <v>2.7239000424742699E-2</v>
      </c>
    </row>
    <row r="382" spans="1:17">
      <c r="A382" s="748" t="s">
        <v>1231</v>
      </c>
      <c r="B382" s="748" t="s">
        <v>1382</v>
      </c>
    </row>
    <row r="383" spans="1:17">
      <c r="J383" s="748" t="s">
        <v>3195</v>
      </c>
      <c r="K383" s="748" t="s">
        <v>1995</v>
      </c>
      <c r="L383" s="748" t="s">
        <v>2000</v>
      </c>
      <c r="M383" s="748" t="s">
        <v>40</v>
      </c>
      <c r="Q383" s="748" t="s">
        <v>3492</v>
      </c>
    </row>
    <row r="384" spans="1:17">
      <c r="B384" s="748" t="s">
        <v>2927</v>
      </c>
      <c r="E384" s="748" t="s">
        <v>1997</v>
      </c>
      <c r="H384" s="748" t="s">
        <v>719</v>
      </c>
      <c r="J384" s="748" t="s">
        <v>2843</v>
      </c>
      <c r="K384" s="748" t="s">
        <v>3332</v>
      </c>
      <c r="L384" s="748" t="s">
        <v>3332</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DeKalb HOME Loan</v>
      </c>
      <c r="H386" s="748">
        <f>'Part III A-Sources of Funds'!H33</f>
        <v>500000</v>
      </c>
      <c r="J386" s="748">
        <f>'Part III A-Sources of Funds'!J33</f>
        <v>2.5000000000000001E-2</v>
      </c>
      <c r="K386" s="748">
        <f>'Part III A-Sources of Funds'!K33</f>
        <v>10</v>
      </c>
      <c r="L386" s="748">
        <f>'Part III A-Sources of Funds'!L33</f>
        <v>10</v>
      </c>
      <c r="M386" s="748">
        <f>'Part III A-Sources of Funds'!M33</f>
        <v>56561.941022378742</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f>'Part III A-Sources of Funds'!M35</f>
        <v>0</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f>'Part III A-Sources of Funds'!M36</f>
        <v>0</v>
      </c>
      <c r="O389" s="748">
        <f>'Part III A-Sources of Funds'!O36</f>
        <v>0</v>
      </c>
      <c r="Q389" s="748">
        <f>'Part III A-Sources of Funds'!Q36</f>
        <v>0</v>
      </c>
    </row>
    <row r="390" spans="2:19">
      <c r="B390" s="748" t="s">
        <v>292</v>
      </c>
      <c r="D390" s="748">
        <f>'Part III A-Sources of Funds'!D37</f>
        <v>5.9099033570025146E-4</v>
      </c>
      <c r="E390" s="748" t="str">
        <f>'Part III A-Sources of Funds'!E37</f>
        <v>Integral Development</v>
      </c>
      <c r="H390" s="748">
        <f>'Part III A-Sources of Funds'!H37</f>
        <v>533</v>
      </c>
      <c r="J390" s="748">
        <f>'Part III A-Sources of Funds'!J37</f>
        <v>4.0500000000000001E-2</v>
      </c>
      <c r="K390" s="748">
        <f>'Part III A-Sources of Funds'!K37</f>
        <v>1</v>
      </c>
      <c r="L390" s="748">
        <f>'Part III A-Sources of Funds'!L37</f>
        <v>1</v>
      </c>
      <c r="M390" s="748">
        <f>'Part III A-Sources of Funds'!M37</f>
        <v>0</v>
      </c>
      <c r="O390" s="748" t="str">
        <f>'Part III A-Sources of Funds'!O37</f>
        <v>Cash Flow</v>
      </c>
      <c r="Q390" s="748">
        <f>'Part III A-Sources of Funds'!Q37</f>
        <v>0</v>
      </c>
    </row>
    <row r="391" spans="2:19">
      <c r="B391" s="748" t="s">
        <v>3333</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3865</v>
      </c>
    </row>
    <row r="393" spans="2:19">
      <c r="B393" s="748" t="s">
        <v>1384</v>
      </c>
      <c r="E393" s="748" t="str">
        <f>'Part III A-Sources of Funds'!E40</f>
        <v>RBC Capital Market</v>
      </c>
      <c r="H393" s="748">
        <f>'Part III A-Sources of Funds'!H40</f>
        <v>5323582.5884999996</v>
      </c>
      <c r="J393" s="748">
        <f>'Part IV-Uses of Funds'!$J$165*10*'Part IV-Uses of Funds'!$N$158</f>
        <v>5324115</v>
      </c>
      <c r="L393" s="748">
        <f>H393-J393</f>
        <v>-532.41150000039488</v>
      </c>
      <c r="M393" s="748" t="s">
        <v>2537</v>
      </c>
      <c r="S393" s="748">
        <f>H393/H403</f>
        <v>0.70058014361080678</v>
      </c>
    </row>
    <row r="394" spans="2:19">
      <c r="B394" s="748" t="s">
        <v>1385</v>
      </c>
      <c r="E394" s="748" t="str">
        <f>'Part III A-Sources of Funds'!E41</f>
        <v>RBC Capital Market</v>
      </c>
      <c r="H394" s="748">
        <f>'Part III A-Sources of Funds'!H41</f>
        <v>1774705</v>
      </c>
      <c r="J394" s="748">
        <f>'Part IV-Uses of Funds'!$J$165*10*'Part IV-Uses of Funds'!$Q$158</f>
        <v>1774705</v>
      </c>
      <c r="L394" s="748">
        <f>H394-J394</f>
        <v>0</v>
      </c>
      <c r="S394" s="748">
        <f>H394/H403</f>
        <v>0.23355006954389002</v>
      </c>
    </row>
    <row r="395" spans="2:19">
      <c r="B395" s="748" t="s">
        <v>2120</v>
      </c>
      <c r="E395" s="748">
        <f>'Part III A-Sources of Funds'!E42</f>
        <v>0</v>
      </c>
      <c r="H395" s="748">
        <f>'Part III A-Sources of Funds'!H42</f>
        <v>0</v>
      </c>
      <c r="M395" s="748" t="s">
        <v>3022</v>
      </c>
      <c r="N395" s="748" t="s">
        <v>3023</v>
      </c>
      <c r="O395" s="748">
        <v>8</v>
      </c>
      <c r="P395" s="748">
        <v>9</v>
      </c>
      <c r="Q395" s="748">
        <v>10</v>
      </c>
      <c r="S395" s="748">
        <f>SUM(S393:S394)</f>
        <v>0.9341302131546968</v>
      </c>
    </row>
    <row r="396" spans="2:19">
      <c r="B396" s="748" t="s">
        <v>824</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7598820.5884999996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7598820.2592527494</v>
      </c>
      <c r="M403" s="748">
        <v>26</v>
      </c>
      <c r="N403" s="748">
        <v>27</v>
      </c>
      <c r="O403" s="748">
        <v>28</v>
      </c>
      <c r="P403" s="748">
        <v>29</v>
      </c>
      <c r="Q403" s="748">
        <v>30</v>
      </c>
    </row>
    <row r="404" spans="1:17">
      <c r="B404" s="748" t="s">
        <v>2276</v>
      </c>
      <c r="H404" s="748">
        <f>H402-H403</f>
        <v>0.32924725022166967</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 xml:space="preserve">The applicant has applied for funding for a HOME Loan from DeKalb County, GA.  A copy of the letter from DeKalb County Planning Department outlining the terms is included in Tab 5, Financing Commitments. </v>
      </c>
      <c r="K408" s="748">
        <f>'Part III A-Sources of Funds'!K55</f>
        <v>0</v>
      </c>
    </row>
    <row r="409" spans="1:17">
      <c r="A409" s="748" t="str">
        <f>'Part III A-Sources of Funds'!A56</f>
        <v>RBC will acquire 98.99% interest in the LIHTC, RBC Tax Credit Manager II, Inc. (“RBC Manager”) will acquire a .001% interest in the LIHTC, RBC State Credit Partner, its successors and assigns, will acquire 100% of the STC, as well as 1% of the LIHTC (collectively, the “Interest”) in the Partnership. The LOI is included in Tab 5</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2011-012 Veteran Senior Housing - Assisted Living, Decatur, DeKalb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745</v>
      </c>
      <c r="C419" s="748">
        <v>0</v>
      </c>
      <c r="D419" s="748" t="s">
        <v>746</v>
      </c>
    </row>
    <row r="420" spans="1:5">
      <c r="B420" s="748" t="s">
        <v>3752</v>
      </c>
      <c r="C420" s="748">
        <f>'Part III B-USDA 538 Loan'!C7</f>
        <v>0</v>
      </c>
      <c r="D420" s="748" t="s">
        <v>2659</v>
      </c>
    </row>
    <row r="421" spans="1:5" ht="13.15" customHeight="1">
      <c r="A421" s="748" t="s">
        <v>3740</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2011-012 Veteran Senior Housing - Assisted Living, Decatur, DeKalb County</v>
      </c>
      <c r="G471" s="748" t="str">
        <f>CONCATENATE('Part I-Project Information'!$O$4," ",'Part I-Project Information'!$F$22,", ",'Part I-Project Information'!$F$24,", ",'Part I-Project Information'!$J$25," County")</f>
        <v>2011-012 Veteran Senior Housing - Assisted Living, Decatur, DeKalb County</v>
      </c>
    </row>
    <row r="472" spans="1:12">
      <c r="A472" s="748" t="s">
        <v>3744</v>
      </c>
      <c r="G472" s="748" t="s">
        <v>3744</v>
      </c>
    </row>
    <row r="473" spans="1:12" ht="6" customHeight="1"/>
    <row r="474" spans="1:12">
      <c r="A474" s="748" t="s">
        <v>3745</v>
      </c>
      <c r="B474" s="748" t="s">
        <v>3746</v>
      </c>
      <c r="C474" s="748" t="s">
        <v>1994</v>
      </c>
      <c r="D474" s="748" t="s">
        <v>3747</v>
      </c>
      <c r="E474" s="748" t="s">
        <v>3748</v>
      </c>
      <c r="F474" s="748" t="s">
        <v>3754</v>
      </c>
      <c r="G474" s="748" t="s">
        <v>3745</v>
      </c>
      <c r="H474" s="748" t="s">
        <v>3746</v>
      </c>
      <c r="I474" s="748" t="s">
        <v>1994</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2011-012 Veteran Senior Housing - Assisted Living, Decatur, DeKalb County</v>
      </c>
    </row>
    <row r="961" spans="1:5" ht="15.6" customHeight="1">
      <c r="A961" s="748" t="s">
        <v>278</v>
      </c>
    </row>
    <row r="963" spans="1:5" ht="13.15" customHeight="1">
      <c r="A963" s="748" t="s">
        <v>3386</v>
      </c>
      <c r="D963" s="748">
        <f>'Part III C-HUD Insured Loan'!D5</f>
        <v>0</v>
      </c>
      <c r="E963" s="748" t="s">
        <v>1552</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2741</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3385</v>
      </c>
      <c r="F984" s="748" t="s">
        <v>3385</v>
      </c>
    </row>
    <row r="985" spans="1:6">
      <c r="A985" s="748" t="s">
        <v>3754</v>
      </c>
      <c r="B985" s="748" t="s">
        <v>1646</v>
      </c>
      <c r="D985" s="748" t="s">
        <v>3754</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2011-012 Veteran Senior Housing - Assisted Living, Decatur, DeKalb County</v>
      </c>
    </row>
    <row r="1009" spans="1:6">
      <c r="A1009" s="748" t="s">
        <v>3744</v>
      </c>
    </row>
    <row r="1010" spans="1:6" ht="5.45" customHeight="1"/>
    <row r="1011" spans="1:6">
      <c r="A1011" s="748" t="s">
        <v>3745</v>
      </c>
      <c r="B1011" s="748" t="s">
        <v>3746</v>
      </c>
      <c r="C1011" s="748" t="s">
        <v>1994</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2011-012 Veteran Senior Housing - Assisted Living,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7500</v>
      </c>
      <c r="J1504" s="748">
        <f>'Part IV-Uses of Funds'!J8</f>
        <v>7500</v>
      </c>
      <c r="M1504" s="748">
        <f>'Part IV-Uses of Funds'!M8</f>
        <v>0</v>
      </c>
      <c r="P1504" s="748">
        <f>'Part IV-Uses of Funds'!P8</f>
        <v>0</v>
      </c>
      <c r="S1504" s="748">
        <f>'Part IV-Uses of Funds'!S8</f>
        <v>0</v>
      </c>
    </row>
    <row r="1505" spans="1:21" ht="12.6" customHeight="1">
      <c r="B1505" s="748" t="s">
        <v>671</v>
      </c>
      <c r="G1505" s="748">
        <f>'Part IV-Uses of Funds'!G9</f>
        <v>7500</v>
      </c>
      <c r="J1505" s="748">
        <f>'Part IV-Uses of Funds'!J9</f>
        <v>7500</v>
      </c>
      <c r="M1505" s="748">
        <f>'Part IV-Uses of Funds'!M9</f>
        <v>0</v>
      </c>
      <c r="P1505" s="748">
        <f>'Part IV-Uses of Funds'!P9</f>
        <v>0</v>
      </c>
      <c r="S1505" s="748">
        <f>'Part IV-Uses of Funds'!S9</f>
        <v>0</v>
      </c>
    </row>
    <row r="1506" spans="1:21" ht="12.6" customHeight="1">
      <c r="B1506" s="748" t="s">
        <v>717</v>
      </c>
      <c r="G1506" s="748">
        <f>'Part IV-Uses of Funds'!G10</f>
        <v>20000</v>
      </c>
      <c r="J1506" s="748">
        <f>'Part IV-Uses of Funds'!J10</f>
        <v>20000</v>
      </c>
      <c r="M1506" s="748">
        <f>'Part IV-Uses of Funds'!M10</f>
        <v>0</v>
      </c>
      <c r="P1506" s="748">
        <f>'Part IV-Uses of Funds'!P10</f>
        <v>0</v>
      </c>
      <c r="S1506" s="748">
        <f>'Part IV-Uses of Funds'!S10</f>
        <v>0</v>
      </c>
    </row>
    <row r="1507" spans="1:21" ht="12.6" customHeight="1">
      <c r="B1507" s="748" t="s">
        <v>718</v>
      </c>
      <c r="G1507" s="748">
        <f>'Part IV-Uses of Funds'!G11</f>
        <v>10000</v>
      </c>
      <c r="J1507" s="748">
        <f>'Part IV-Uses of Funds'!J11</f>
        <v>10000</v>
      </c>
      <c r="M1507" s="748">
        <f>'Part IV-Uses of Funds'!M11</f>
        <v>0</v>
      </c>
      <c r="P1507" s="748">
        <f>'Part IV-Uses of Funds'!P11</f>
        <v>0</v>
      </c>
      <c r="S1507" s="748">
        <f>'Part IV-Uses of Funds'!S11</f>
        <v>0</v>
      </c>
    </row>
    <row r="1508" spans="1:21" ht="12.6" customHeight="1">
      <c r="B1508" s="748" t="s">
        <v>3780</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20000</v>
      </c>
      <c r="J1509" s="748">
        <f>'Part IV-Uses of Funds'!J13</f>
        <v>20000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80000</v>
      </c>
      <c r="J1513" s="748">
        <f>SUM(J1504:K1512)</f>
        <v>80000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450000</v>
      </c>
      <c r="S1515" s="748">
        <f>'Part IV-Uses of Funds'!S19</f>
        <v>450000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450000</v>
      </c>
      <c r="M1519" s="748">
        <f>SUM(M1517:N1518)</f>
        <v>0</v>
      </c>
      <c r="S1519" s="748">
        <f>SUM(S1515:T1518)</f>
        <v>450000</v>
      </c>
    </row>
    <row r="1520" spans="1:21" ht="13.15" customHeight="1">
      <c r="B1520" s="748" t="s">
        <v>1751</v>
      </c>
      <c r="O1520" s="748" t="str">
        <f>B1520</f>
        <v>LAND IMPROVEMENTS</v>
      </c>
    </row>
    <row r="1521" spans="2:19" ht="12.6" customHeight="1">
      <c r="B1521" s="748" t="s">
        <v>1752</v>
      </c>
      <c r="G1521" s="748">
        <f>'Part IV-Uses of Funds'!G25</f>
        <v>532480</v>
      </c>
      <c r="J1521" s="748">
        <f>'Part IV-Uses of Funds'!J25</f>
        <v>432480</v>
      </c>
      <c r="M1521" s="748">
        <f>'Part IV-Uses of Funds'!M25</f>
        <v>0</v>
      </c>
      <c r="P1521" s="748">
        <f>'Part IV-Uses of Funds'!P25</f>
        <v>0</v>
      </c>
      <c r="S1521" s="748">
        <f>'Part IV-Uses of Funds'!S25</f>
        <v>100000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532480</v>
      </c>
      <c r="J1523" s="748">
        <f>SUM(J1521:K1522)</f>
        <v>432480</v>
      </c>
      <c r="M1523" s="748">
        <f>M1521</f>
        <v>0</v>
      </c>
      <c r="P1523" s="748">
        <f>P1521</f>
        <v>0</v>
      </c>
      <c r="S1523" s="748">
        <f>SUM(S1521:T1522)</f>
        <v>100000</v>
      </c>
    </row>
    <row r="1524" spans="2:19" ht="13.15" customHeight="1">
      <c r="B1524" s="748" t="s">
        <v>1754</v>
      </c>
      <c r="O1524" s="748" t="str">
        <f>B1524</f>
        <v>STRUCTURES</v>
      </c>
    </row>
    <row r="1525" spans="2:19" ht="12.6" customHeight="1">
      <c r="B1525" s="748" t="s">
        <v>1755</v>
      </c>
      <c r="G1525" s="748">
        <f>'Part IV-Uses of Funds'!G29</f>
        <v>3374836</v>
      </c>
      <c r="J1525" s="748">
        <f>'Part IV-Uses of Funds'!J29</f>
        <v>3174836</v>
      </c>
      <c r="M1525" s="748">
        <f>'Part IV-Uses of Funds'!M29</f>
        <v>0</v>
      </c>
      <c r="P1525" s="748">
        <f>'Part IV-Uses of Funds'!P29</f>
        <v>0</v>
      </c>
      <c r="S1525" s="748">
        <f>'Part IV-Uses of Funds'!S29</f>
        <v>200000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3374836</v>
      </c>
      <c r="J1528" s="748">
        <f>SUM(J1525:K1527)</f>
        <v>3174836</v>
      </c>
      <c r="M1528" s="748">
        <f>SUM(M1525:N1527)</f>
        <v>0</v>
      </c>
      <c r="P1528" s="748">
        <f>SUM(P1525:Q1527)</f>
        <v>0</v>
      </c>
      <c r="S1528" s="748">
        <f>SUM(S1525:T1527)</f>
        <v>200000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234438.96</v>
      </c>
      <c r="J1530" s="748">
        <f>'Part IV-Uses of Funds'!J34</f>
        <v>234438.96</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312585.28000000003</v>
      </c>
      <c r="J1531" s="748">
        <f>'Part IV-Uses of Funds'!J35</f>
        <v>312585.28000000003</v>
      </c>
      <c r="M1531" s="748">
        <f>'Part IV-Uses of Funds'!M35</f>
        <v>0</v>
      </c>
      <c r="P1531" s="748">
        <f>'Part IV-Uses of Funds'!P35</f>
        <v>0</v>
      </c>
      <c r="S1531" s="748">
        <f>'Part IV-Uses of Funds'!S35</f>
        <v>0</v>
      </c>
    </row>
    <row r="1532" spans="2:19" ht="12.6" customHeight="1">
      <c r="B1532" s="748" t="s">
        <v>3131</v>
      </c>
      <c r="F1532" s="748" t="s">
        <v>249</v>
      </c>
      <c r="G1532" s="748">
        <f>SUM(G1530:H1531)</f>
        <v>547024.24</v>
      </c>
      <c r="J1532" s="748">
        <f>SUM(J1530:K1531)</f>
        <v>547024.24</v>
      </c>
      <c r="M1532" s="748">
        <f>SUM(M1530:N1531)</f>
        <v>0</v>
      </c>
      <c r="P1532" s="748">
        <f>SUM(P1530:Q1531)</f>
        <v>0</v>
      </c>
      <c r="S1532" s="748">
        <f>SUM(S1530:T1531)</f>
        <v>0</v>
      </c>
    </row>
    <row r="1533" spans="2:19" ht="6" customHeight="1"/>
    <row r="1534" spans="2:19" ht="12.6" customHeight="1">
      <c r="B1534" s="748" t="s">
        <v>1760</v>
      </c>
      <c r="D1534" s="748">
        <f>B1535/'Part VI-Revenues &amp; Expenses'!$M$63</f>
        <v>74239.004000000001</v>
      </c>
      <c r="F1534" s="748" t="s">
        <v>2110</v>
      </c>
    </row>
    <row r="1535" spans="2:19" ht="12.6" customHeight="1">
      <c r="B1535" s="748">
        <f>G1523+G1528+G1532</f>
        <v>4454340.24</v>
      </c>
      <c r="D1535" s="748">
        <f>B1535/'Part VI-Revenues &amp; Expenses'!$M$98</f>
        <v>114.21385230769231</v>
      </c>
      <c r="F1535" s="748" t="s">
        <v>1337</v>
      </c>
    </row>
    <row r="1536" spans="2:19" ht="6" customHeight="1"/>
    <row r="1537" spans="1:21" ht="13.15" customHeight="1">
      <c r="B1537" s="748" t="s">
        <v>1758</v>
      </c>
      <c r="O1537" s="748" t="str">
        <f>B1537</f>
        <v>CONSTRUCTION CONTINGENCY</v>
      </c>
    </row>
    <row r="1538" spans="1:21" ht="12.6" customHeight="1">
      <c r="B1538" s="748" t="s">
        <v>3038</v>
      </c>
      <c r="F1538" s="748" t="e">
        <f>G1538/$B$39</f>
        <v>#DIV/0!</v>
      </c>
      <c r="G1538" s="748">
        <f>'Part IV-Uses of Funds'!G42</f>
        <v>222717.01200000002</v>
      </c>
      <c r="J1538" s="748">
        <f>'Part IV-Uses of Funds'!J42</f>
        <v>222717.01200000002</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3496</v>
      </c>
      <c r="G1544" s="748">
        <f>'Part IV-Uses of Funds'!G48</f>
        <v>0</v>
      </c>
      <c r="J1544" s="748">
        <f>'Part IV-Uses of Funds'!J48</f>
        <v>0</v>
      </c>
      <c r="M1544" s="748">
        <f>'Part IV-Uses of Funds'!M48</f>
        <v>0</v>
      </c>
      <c r="P1544" s="748">
        <f>'Part IV-Uses of Funds'!P48</f>
        <v>0</v>
      </c>
      <c r="S1544" s="748">
        <f>'Part IV-Uses of Funds'!S48</f>
        <v>0</v>
      </c>
    </row>
    <row r="1545" spans="1:21" ht="13.15" customHeight="1">
      <c r="B1545" s="748" t="s">
        <v>3497</v>
      </c>
      <c r="G1545" s="748">
        <f>'Part IV-Uses of Funds'!G49</f>
        <v>0</v>
      </c>
      <c r="J1545" s="748">
        <f>'Part IV-Uses of Funds'!J49</f>
        <v>0</v>
      </c>
      <c r="M1545" s="748">
        <f>'Part IV-Uses of Funds'!M49</f>
        <v>0</v>
      </c>
      <c r="P1545" s="748">
        <f>'Part IV-Uses of Funds'!P49</f>
        <v>0</v>
      </c>
      <c r="S1545" s="748">
        <f>'Part IV-Uses of Funds'!S49</f>
        <v>0</v>
      </c>
    </row>
    <row r="1546" spans="1:21" ht="13.15" customHeight="1">
      <c r="B1546" s="748" t="s">
        <v>3498</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1092</v>
      </c>
      <c r="G1547" s="748">
        <f>'Part IV-Uses of Funds'!G51</f>
        <v>12000</v>
      </c>
      <c r="J1547" s="748">
        <f>'Part IV-Uses of Funds'!J51</f>
        <v>12000</v>
      </c>
      <c r="M1547" s="748">
        <f>'Part IV-Uses of Funds'!M51</f>
        <v>0</v>
      </c>
      <c r="P1547" s="748">
        <f>'Part IV-Uses of Funds'!P51</f>
        <v>0</v>
      </c>
      <c r="S1547" s="748">
        <f>'Part IV-Uses of Funds'!S51</f>
        <v>0</v>
      </c>
    </row>
    <row r="1548" spans="1:21" ht="13.15" customHeight="1">
      <c r="B1548" s="748" t="s">
        <v>3499</v>
      </c>
      <c r="G1548" s="748">
        <f>'Part IV-Uses of Funds'!G52</f>
        <v>15438.09</v>
      </c>
      <c r="J1548" s="748">
        <f>'Part IV-Uses of Funds'!J52</f>
        <v>15438.09</v>
      </c>
      <c r="M1548" s="748">
        <f>'Part IV-Uses of Funds'!M52</f>
        <v>0</v>
      </c>
      <c r="P1548" s="748">
        <f>'Part IV-Uses of Funds'!P52</f>
        <v>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60750</v>
      </c>
      <c r="J1550" s="748">
        <f>'Part IV-Uses of Funds'!J54</f>
        <v>60750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88188.09</v>
      </c>
      <c r="J1552" s="748">
        <f>SUM(J1544:K1551)</f>
        <v>88188.09</v>
      </c>
      <c r="M1552" s="748">
        <f>SUM(M1544:N1551)</f>
        <v>0</v>
      </c>
      <c r="P1552" s="748">
        <f>SUM(P1544:Q1551)</f>
        <v>0</v>
      </c>
      <c r="S1552" s="748">
        <f>SUM(S1544:T1551)</f>
        <v>0</v>
      </c>
    </row>
    <row r="1553" spans="1:21" ht="13.15" customHeight="1">
      <c r="B1553" s="748" t="s">
        <v>704</v>
      </c>
      <c r="O1553" s="748" t="str">
        <f>B1553</f>
        <v>PROFESSIONAL SERVICES</v>
      </c>
    </row>
    <row r="1554" spans="1:21" ht="13.15" customHeight="1">
      <c r="B1554" s="748" t="s">
        <v>705</v>
      </c>
      <c r="G1554" s="748">
        <f>'Part IV-Uses of Funds'!G58</f>
        <v>173491.98207075</v>
      </c>
      <c r="J1554" s="748">
        <f>'Part IV-Uses of Funds'!J58</f>
        <v>173491.98207075</v>
      </c>
      <c r="M1554" s="748">
        <f>'Part IV-Uses of Funds'!M58</f>
        <v>0</v>
      </c>
      <c r="P1554" s="748">
        <f>'Part IV-Uses of Funds'!P58</f>
        <v>0</v>
      </c>
      <c r="S1554" s="748">
        <f>'Part IV-Uses of Funds'!S58</f>
        <v>0</v>
      </c>
    </row>
    <row r="1555" spans="1:21" ht="13.15" customHeight="1">
      <c r="B1555" s="748" t="s">
        <v>706</v>
      </c>
      <c r="G1555" s="748">
        <f>'Part IV-Uses of Funds'!G59</f>
        <v>57830.660690249999</v>
      </c>
      <c r="J1555" s="748">
        <f>'Part IV-Uses of Funds'!J59</f>
        <v>57830.660690249999</v>
      </c>
      <c r="M1555" s="748">
        <f>'Part IV-Uses of Funds'!M59</f>
        <v>0</v>
      </c>
      <c r="P1555" s="748">
        <f>'Part IV-Uses of Funds'!P59</f>
        <v>0</v>
      </c>
      <c r="S1555" s="748">
        <f>'Part IV-Uses of Funds'!S59</f>
        <v>0</v>
      </c>
    </row>
    <row r="1556" spans="1:21" ht="13.15" customHeight="1">
      <c r="B1556" s="748" t="s">
        <v>1761</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1762</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1763</v>
      </c>
      <c r="G1558" s="748">
        <f>'Part IV-Uses of Funds'!G62</f>
        <v>21500</v>
      </c>
      <c r="J1558" s="748">
        <f>'Part IV-Uses of Funds'!J62</f>
        <v>21500</v>
      </c>
      <c r="M1558" s="748">
        <f>'Part IV-Uses of Funds'!M62</f>
        <v>0</v>
      </c>
      <c r="P1558" s="748">
        <f>'Part IV-Uses of Funds'!P62</f>
        <v>0</v>
      </c>
      <c r="S1558" s="748">
        <f>'Part IV-Uses of Funds'!S62</f>
        <v>0</v>
      </c>
    </row>
    <row r="1559" spans="1:21" ht="13.15" customHeight="1">
      <c r="B1559" s="748" t="s">
        <v>1764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100000</v>
      </c>
      <c r="J1560" s="748">
        <f>'Part IV-Uses of Funds'!J64</f>
        <v>100000</v>
      </c>
      <c r="M1560" s="748">
        <f>'Part IV-Uses of Funds'!M64</f>
        <v>0</v>
      </c>
      <c r="P1560" s="748">
        <f>'Part IV-Uses of Funds'!P64</f>
        <v>0</v>
      </c>
      <c r="S1560" s="748">
        <f>'Part IV-Uses of Funds'!S64</f>
        <v>0</v>
      </c>
    </row>
    <row r="1561" spans="1:21" ht="13.15" customHeight="1">
      <c r="B1561" s="748" t="s">
        <v>708</v>
      </c>
      <c r="G1561" s="748">
        <f>'Part IV-Uses of Funds'!G65</f>
        <v>100000</v>
      </c>
      <c r="J1561" s="748">
        <f>'Part IV-Uses of Funds'!J65</f>
        <v>50000</v>
      </c>
      <c r="M1561" s="748">
        <f>'Part IV-Uses of Funds'!M65</f>
        <v>0</v>
      </c>
      <c r="P1561" s="748">
        <f>'Part IV-Uses of Funds'!P65</f>
        <v>0</v>
      </c>
      <c r="S1561" s="748">
        <f>'Part IV-Uses of Funds'!S65</f>
        <v>50000</v>
      </c>
    </row>
    <row r="1562" spans="1:21" ht="13.15" customHeight="1">
      <c r="B1562" s="748" t="s">
        <v>3141</v>
      </c>
      <c r="G1562" s="748">
        <f>'Part IV-Uses of Funds'!G66</f>
        <v>56000</v>
      </c>
      <c r="J1562" s="748">
        <f>'Part IV-Uses of Funds'!J66</f>
        <v>56000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528822.64276099997</v>
      </c>
      <c r="J1564" s="748">
        <f>SUM(J1554:K1563)</f>
        <v>478822.64276099997</v>
      </c>
      <c r="M1564" s="748">
        <f>SUM(M1554:N1563)</f>
        <v>0</v>
      </c>
      <c r="P1564" s="748">
        <f>SUM(P1554:Q1563)</f>
        <v>0</v>
      </c>
      <c r="S1564" s="748">
        <f>SUM(S1554:T1563)</f>
        <v>50000</v>
      </c>
    </row>
    <row r="1565" spans="1:21" ht="13.15" customHeight="1">
      <c r="B1565" s="748" t="s">
        <v>1953</v>
      </c>
      <c r="O1565" s="748" t="str">
        <f>B1565</f>
        <v>LOCAL GOVERNMENT FEES</v>
      </c>
    </row>
    <row r="1566" spans="1:21" ht="13.15" customHeight="1">
      <c r="B1566" s="748" t="s">
        <v>1954</v>
      </c>
      <c r="G1566" s="748">
        <f>'Part IV-Uses of Funds'!G70</f>
        <v>48853</v>
      </c>
      <c r="J1566" s="748">
        <f>'Part IV-Uses of Funds'!J70</f>
        <v>48853</v>
      </c>
      <c r="M1566" s="748">
        <f>'Part IV-Uses of Funds'!M70</f>
        <v>0</v>
      </c>
      <c r="P1566" s="748">
        <f>'Part IV-Uses of Funds'!P70</f>
        <v>0</v>
      </c>
      <c r="S1566" s="748">
        <f>'Part IV-Uses of Funds'!S70</f>
        <v>0</v>
      </c>
    </row>
    <row r="1567" spans="1:21" ht="13.15" customHeight="1">
      <c r="B1567" s="748" t="s">
        <v>1955</v>
      </c>
      <c r="G1567" s="748">
        <f>'Part IV-Uses of Funds'!G71</f>
        <v>45000</v>
      </c>
      <c r="J1567" s="748">
        <f>'Part IV-Uses of Funds'!J71</f>
        <v>45000</v>
      </c>
      <c r="M1567" s="748">
        <f>'Part IV-Uses of Funds'!M71</f>
        <v>0</v>
      </c>
      <c r="P1567" s="748">
        <f>'Part IV-Uses of Funds'!P71</f>
        <v>0</v>
      </c>
      <c r="S1567" s="748">
        <f>'Part IV-Uses of Funds'!S71</f>
        <v>0</v>
      </c>
    </row>
    <row r="1568" spans="1:21" ht="13.15" customHeight="1">
      <c r="B1568" s="748" t="s">
        <v>1956</v>
      </c>
      <c r="D1568" s="748" t="s">
        <v>2111</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1957</v>
      </c>
      <c r="D1569" s="748" t="s">
        <v>2111</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93853</v>
      </c>
      <c r="J1570" s="748">
        <f>SUM(J1566:K1569)</f>
        <v>93853</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0</v>
      </c>
      <c r="S1572" s="748">
        <f>'Part IV-Uses of Funds'!S76</f>
        <v>0</v>
      </c>
    </row>
    <row r="1573" spans="1:21" ht="13.15" customHeight="1">
      <c r="B1573" s="748" t="s">
        <v>1959</v>
      </c>
      <c r="G1573" s="748">
        <f>'Part IV-Uses of Funds'!G77</f>
        <v>0</v>
      </c>
      <c r="S1573" s="748">
        <f>'Part IV-Uses of Funds'!S77</f>
        <v>0</v>
      </c>
    </row>
    <row r="1574" spans="1:21" ht="13.15" customHeight="1">
      <c r="B1574" s="748" t="s">
        <v>1960</v>
      </c>
      <c r="G1574" s="748">
        <f>'Part IV-Uses of Funds'!G78</f>
        <v>40000</v>
      </c>
      <c r="J1574" s="748">
        <f>'Part IV-Uses of Funds'!J78</f>
        <v>40000</v>
      </c>
      <c r="M1574" s="748">
        <f>'Part IV-Uses of Funds'!M78</f>
        <v>0</v>
      </c>
      <c r="P1574" s="748">
        <f>'Part IV-Uses of Funds'!P78</f>
        <v>0</v>
      </c>
      <c r="S1574" s="748">
        <f>'Part IV-Uses of Funds'!S78</f>
        <v>0</v>
      </c>
    </row>
    <row r="1575" spans="1:21" ht="13.15" customHeight="1">
      <c r="B1575" s="748" t="s">
        <v>1961</v>
      </c>
      <c r="G1575" s="748">
        <f>'Part IV-Uses of Funds'!G79</f>
        <v>7760</v>
      </c>
      <c r="J1575" s="748">
        <f>'Part IV-Uses of Funds'!J79</f>
        <v>7760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Insurance  &amp; Other Soft Costs</v>
      </c>
      <c r="G1578" s="748">
        <f>'Part IV-Uses of Funds'!G82</f>
        <v>35000</v>
      </c>
      <c r="J1578" s="748">
        <f>'Part IV-Uses of Funds'!J82</f>
        <v>0</v>
      </c>
      <c r="M1578" s="748">
        <f>'Part IV-Uses of Funds'!M82</f>
        <v>0</v>
      </c>
      <c r="P1578" s="748">
        <f>'Part IV-Uses of Funds'!P82</f>
        <v>0</v>
      </c>
      <c r="S1578" s="748">
        <f>'Part IV-Uses of Funds'!S82</f>
        <v>35000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82760</v>
      </c>
      <c r="J1579" s="748">
        <f>SUM(J1574:K1578)</f>
        <v>47760</v>
      </c>
      <c r="M1579" s="748">
        <f>SUM(M1574:N1578)</f>
        <v>0</v>
      </c>
      <c r="P1579" s="748">
        <f>SUM(P1574:Q1578)</f>
        <v>0</v>
      </c>
      <c r="S1579" s="748">
        <f>SUM(S1572:T1578)</f>
        <v>35000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49692</v>
      </c>
      <c r="S1588" s="748">
        <f>'Part IV-Uses of Funds'!S92</f>
        <v>49692</v>
      </c>
    </row>
    <row r="1589" spans="1:21" ht="12.6" customHeight="1">
      <c r="B1589" s="748" t="s">
        <v>1244</v>
      </c>
      <c r="E1589" s="748">
        <f>'Part VI-Revenues &amp; Expenses'!$M$63*'DCA Underwriting Assumptions'!$Q$44</f>
        <v>42000</v>
      </c>
      <c r="G1589" s="748">
        <f>'Part IV-Uses of Funds'!G93</f>
        <v>42000</v>
      </c>
      <c r="S1589" s="748">
        <f>'Part IV-Uses of Funds'!S93</f>
        <v>42000</v>
      </c>
    </row>
    <row r="1590" spans="1:21" ht="12.6" customHeight="1">
      <c r="B1590" s="748" t="s">
        <v>715</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98692</v>
      </c>
      <c r="S1594" s="748">
        <f>SUM(S1585:T1593)</f>
        <v>98692</v>
      </c>
    </row>
    <row r="1595" spans="1:21" ht="13.15" customHeight="1">
      <c r="B1595" s="748" t="s">
        <v>3440</v>
      </c>
      <c r="O1595" s="748" t="str">
        <f>B1595</f>
        <v>EQUITY COSTS</v>
      </c>
    </row>
    <row r="1596" spans="1:21" ht="12.6" customHeight="1">
      <c r="B1596" s="748" t="s">
        <v>370</v>
      </c>
      <c r="G1596" s="748">
        <f>'Part IV-Uses of Funds'!G100</f>
        <v>20000</v>
      </c>
      <c r="S1596" s="748">
        <f>'Part IV-Uses of Funds'!S100</f>
        <v>20000</v>
      </c>
    </row>
    <row r="1597" spans="1:21" ht="12.6" customHeight="1">
      <c r="B1597" s="748" t="s">
        <v>372</v>
      </c>
      <c r="G1597" s="748">
        <f>'Part IV-Uses of Funds'!G101</f>
        <v>5000</v>
      </c>
      <c r="S1597" s="748">
        <f>'Part IV-Uses of Funds'!S101</f>
        <v>5000</v>
      </c>
    </row>
    <row r="1598" spans="1:21" ht="12.6" customHeight="1">
      <c r="B1598" s="748" t="s">
        <v>3615</v>
      </c>
      <c r="G1598" s="748">
        <f>'Part IV-Uses of Funds'!G102</f>
        <v>40000</v>
      </c>
      <c r="S1598" s="748">
        <f>'Part IV-Uses of Funds'!S102</f>
        <v>40000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65000</v>
      </c>
      <c r="S1600" s="748">
        <f>SUM(S1596:T1599)</f>
        <v>65000</v>
      </c>
    </row>
    <row r="1601" spans="1:21" ht="13.15" customHeight="1">
      <c r="B1601" s="748" t="s">
        <v>373</v>
      </c>
      <c r="O1601" s="748" t="str">
        <f>B1601</f>
        <v>DEVELOPER'S FEE</v>
      </c>
    </row>
    <row r="1602" spans="1:21" ht="12.6" customHeight="1">
      <c r="B1602" s="748" t="s">
        <v>2915</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901876</v>
      </c>
      <c r="J1604" s="748">
        <f>'Part IV-Uses of Funds'!J108</f>
        <v>901876</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901876</v>
      </c>
      <c r="J1605" s="748">
        <f>SUM(J1602:K1604)</f>
        <v>901876</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55000</v>
      </c>
      <c r="S1607" s="748">
        <f>'Part IV-Uses of Funds'!S111</f>
        <v>55000</v>
      </c>
    </row>
    <row r="1608" spans="1:21" ht="12.6" customHeight="1">
      <c r="B1608" s="748" t="s">
        <v>2287</v>
      </c>
      <c r="G1608" s="748">
        <f>'Part IV-Uses of Funds'!G112</f>
        <v>98201.573060186667</v>
      </c>
      <c r="S1608" s="748">
        <f>'Part IV-Uses of Funds'!S112</f>
        <v>98201.573060186667</v>
      </c>
    </row>
    <row r="1609" spans="1:21" ht="12.6" customHeight="1">
      <c r="B1609" s="748" t="s">
        <v>1028</v>
      </c>
      <c r="G1609" s="748">
        <f>'Part IV-Uses of Funds'!G113</f>
        <v>195919.70143156272</v>
      </c>
      <c r="S1609" s="748">
        <f>'Part IV-Uses of Funds'!S113</f>
        <v>195919.70143156272</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3057.5</v>
      </c>
      <c r="G1611" s="748">
        <f>'Part IV-Uses of Funds'!G115</f>
        <v>183450</v>
      </c>
      <c r="J1611" s="748">
        <f>'Part IV-Uses of Funds'!J115</f>
        <v>123450</v>
      </c>
      <c r="M1611" s="748">
        <f>'Part IV-Uses of Funds'!M115</f>
        <v>0</v>
      </c>
      <c r="P1611" s="748">
        <f>'Part IV-Uses of Funds'!P115</f>
        <v>0</v>
      </c>
      <c r="S1611" s="748">
        <f>'Part IV-Uses of Funds'!S115</f>
        <v>60000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532571.27449174935</v>
      </c>
      <c r="J1613" s="748">
        <f>SUM(J1611:K1612)</f>
        <v>123450</v>
      </c>
      <c r="M1613" s="748">
        <f>SUM(M1611:N1612)</f>
        <v>0</v>
      </c>
      <c r="P1613" s="748">
        <f>SUM(P1611:Q1612)</f>
        <v>0</v>
      </c>
      <c r="S1613" s="748">
        <f>SUM(S1607:T1612)</f>
        <v>409121.27449174935</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7598820.2592527494</v>
      </c>
      <c r="J1619" s="748">
        <f>J1513+J1519+J1523+J1528+J1532+J1538+J1552+J1564+J1570+J1579+J1594+J1600+J1605+J1613+J1617</f>
        <v>6191006.9847609997</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1407813.2744917492</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7598820</v>
      </c>
      <c r="F1621" s="748" t="s">
        <v>1038</v>
      </c>
      <c r="G1621" s="748">
        <f>G1619/'Part VI-Revenues &amp; Expenses'!$M$63</f>
        <v>126647.00432087916</v>
      </c>
      <c r="J1621" s="748" t="s">
        <v>1039</v>
      </c>
      <c r="M1621" s="748">
        <f>G1619/'Part VI-Revenues &amp; Expenses'!$M$98</f>
        <v>194.84154510904486</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6191006.9847609997</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6191006.9847609997</v>
      </c>
      <c r="M1638" s="748">
        <f>M1636</f>
        <v>0</v>
      </c>
      <c r="P1638" s="748">
        <f>P1636-P1637</f>
        <v>0</v>
      </c>
    </row>
    <row r="1639" spans="1:19" ht="13.9" customHeight="1">
      <c r="B1639" s="748" t="s">
        <v>2228</v>
      </c>
      <c r="G1639" s="748" t="s">
        <v>2734</v>
      </c>
      <c r="H1639" s="748" t="str">
        <f>'Part IV-Uses of Funds'!H143</f>
        <v>State Boost</v>
      </c>
      <c r="J1639" s="748">
        <f>'Part IV-Uses of Funds'!J143</f>
        <v>1.3</v>
      </c>
      <c r="P1639" s="748">
        <f>'Part IV-Uses of Funds'!P143</f>
        <v>0</v>
      </c>
    </row>
    <row r="1640" spans="1:19" ht="13.9" customHeight="1">
      <c r="B1640" s="748" t="s">
        <v>3150</v>
      </c>
      <c r="J1640" s="748">
        <f>J1638*J1639</f>
        <v>8048309.0801892998</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8048309.0801892998</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724347.81721703697</v>
      </c>
      <c r="M1644" s="748">
        <f>M1642*M1643</f>
        <v>0</v>
      </c>
      <c r="P1644" s="748">
        <f>P1642*P1643</f>
        <v>0</v>
      </c>
    </row>
    <row r="1645" spans="1:19" ht="13.9" customHeight="1">
      <c r="B1645" s="748" t="s">
        <v>2143</v>
      </c>
      <c r="J1645" s="748">
        <f>J1644+M1644+P1644</f>
        <v>724347.81721703697</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7598820</v>
      </c>
      <c r="M1648" s="748" t="s">
        <v>3645</v>
      </c>
    </row>
    <row r="1649" spans="1:20" ht="13.9" customHeight="1">
      <c r="B1649" s="748" t="s">
        <v>3604</v>
      </c>
      <c r="J1649" s="748">
        <f>'Part IV-Uses of Funds'!J153</f>
        <v>7598820</v>
      </c>
    </row>
    <row r="1650" spans="1:20" ht="13.9" customHeight="1">
      <c r="B1650" s="748" t="s">
        <v>341</v>
      </c>
      <c r="J1650" s="749">
        <f>'Part III A-Sources of Funds'!$H$49-'Part III A-Sources of Funds'!$H$37-'Part III A-Sources of Funds'!$H$40-'Part III A-Sources of Funds'!$H$41</f>
        <v>500000</v>
      </c>
      <c r="T1650" s="748" t="s">
        <v>344</v>
      </c>
    </row>
    <row r="1651" spans="1:20" ht="13.9" customHeight="1">
      <c r="B1651" s="748" t="s">
        <v>3357</v>
      </c>
      <c r="J1651" s="748">
        <f>+J1649-J1650</f>
        <v>7098820</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709882</v>
      </c>
      <c r="N1653" s="748" t="s">
        <v>1988</v>
      </c>
      <c r="Q1653" s="748" t="s">
        <v>2830</v>
      </c>
    </row>
    <row r="1654" spans="1:20" ht="13.9" customHeight="1">
      <c r="B1654" s="748" t="s">
        <v>4091</v>
      </c>
      <c r="J1654" s="748">
        <f>N1654+Q1654</f>
        <v>1</v>
      </c>
      <c r="M1654" s="748" t="s">
        <v>1989</v>
      </c>
      <c r="N1654" s="748">
        <f>'Part IV-Uses of Funds'!N158</f>
        <v>0.75</v>
      </c>
      <c r="P1654" s="748" t="s">
        <v>945</v>
      </c>
      <c r="Q1654" s="748">
        <f>'Part IV-Uses of Funds'!Q158</f>
        <v>0.25</v>
      </c>
    </row>
    <row r="1655" spans="1:20" ht="13.9" customHeight="1">
      <c r="B1655" s="748" t="s">
        <v>2144</v>
      </c>
      <c r="J1655" s="748">
        <f>IF(J1654=0,"",J1653/J1654)</f>
        <v>709882</v>
      </c>
    </row>
    <row r="1656" spans="1:20" ht="9" customHeight="1"/>
    <row r="1657" spans="1:20" ht="16.149999999999999" customHeight="1">
      <c r="B1657" s="748" t="s">
        <v>3605</v>
      </c>
      <c r="J1657" s="748">
        <f>+MIN(J1645,J1655,'DCA Underwriting Assumptions'!$R$6)</f>
        <v>709882</v>
      </c>
    </row>
    <row r="1658" spans="1:20" ht="9.6" customHeight="1"/>
    <row r="1659" spans="1:20" ht="16.149999999999999" customHeight="1">
      <c r="B1659" s="748" t="s">
        <v>3606</v>
      </c>
      <c r="J1659" s="748">
        <f>'Part IV-Uses of Funds'!J163</f>
        <v>709882</v>
      </c>
      <c r="M1659" s="748" t="str">
        <f>IF(J1659&gt;J1657,"ALLOCATION CANNOT EXCEED MAXIMUM - REVISE ALLOCATION!","")</f>
        <v/>
      </c>
    </row>
    <row r="1660" spans="1:20" ht="9.6" customHeight="1"/>
    <row r="1661" spans="1:20" ht="16.149999999999999" customHeight="1">
      <c r="A1661" s="748" t="s">
        <v>2823</v>
      </c>
      <c r="B1661" s="748" t="s">
        <v>3607</v>
      </c>
      <c r="J1661" s="748">
        <f>+MIN(J1657,J1659)</f>
        <v>709882</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Construction hard costs were generated by our affiliate, IBG Construction Services, Inc (IBG).  IBG has 15 years of General Contracting and Construction Management experience on similar projects with DCA.  They have estimated the construction cost using design specification assumptions based upon similar projects and requirements per the 2011 Architectural Manaual.  Pricing is based on current market conditions.  The Construction Cost estimate is included in Tab 8.</v>
      </c>
      <c r="K1665" s="748">
        <f>'Part IV-Uses of Funds'!K169</f>
        <v>0</v>
      </c>
    </row>
    <row r="1666" spans="1:12" ht="107.45" customHeight="1">
      <c r="A1666" s="748" t="str">
        <f>'Part IV-Uses of Funds'!A170</f>
        <v xml:space="preserve">The applicant has applied for funding for a HOME Loan from DeKalb County, GA.  A copy of the letter from DeKalb County Planning Department outlining the terms is included in Tab 5, Financing Commitments. </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2011-012 Veteran Senior Housing - Assisted Living, ,  County</v>
      </c>
    </row>
    <row r="1675" spans="1:12">
      <c r="F1675" s="748" t="s">
        <v>806</v>
      </c>
      <c r="I1675" s="748" t="str">
        <f>VLOOKUP('Part I-Project Information'!$J$25,'Part I-Project Information'!$C$183:$D$342,2)</f>
        <v>Middle</v>
      </c>
    </row>
    <row r="1677" spans="1:12">
      <c r="A1677" s="748" t="s">
        <v>950</v>
      </c>
      <c r="B1677" s="748" t="s">
        <v>3352</v>
      </c>
      <c r="F1677" s="748" t="s">
        <v>3806</v>
      </c>
      <c r="I1677" s="748" t="str">
        <f>'Part V-Utility Allowances'!I5</f>
        <v>DeKalb County Housing Authority</v>
      </c>
    </row>
    <row r="1678" spans="1:12">
      <c r="F1678" s="748" t="s">
        <v>972</v>
      </c>
      <c r="I1678" s="748">
        <f>'Part V-Utility Allowances'!I6</f>
        <v>40513</v>
      </c>
      <c r="K1678" s="748" t="s">
        <v>833</v>
      </c>
      <c r="L1678" s="748" t="str">
        <f>'Part V-Utility Allowances'!L6</f>
        <v>3+ Story</v>
      </c>
    </row>
    <row r="1680" spans="1:12">
      <c r="F1680" s="748" t="s">
        <v>942</v>
      </c>
      <c r="I1680" s="748" t="s">
        <v>258</v>
      </c>
    </row>
    <row r="1681" spans="1:13">
      <c r="B1681" s="748" t="s">
        <v>1380</v>
      </c>
      <c r="D1681" s="748" t="s">
        <v>2361</v>
      </c>
      <c r="F1681" s="748" t="s">
        <v>978</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14</v>
      </c>
      <c r="K1682" s="748">
        <f>'Part V-Utility Allowances'!K10</f>
        <v>0</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17</v>
      </c>
      <c r="K1683" s="748">
        <f>'Part V-Utility Allowances'!K11</f>
        <v>0</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0</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15</v>
      </c>
      <c r="K1685" s="748">
        <f>'Part V-Utility Allowances'!K13</f>
        <v>0</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28</v>
      </c>
      <c r="K1686" s="748">
        <f>'Part V-Utility Allowances'!K14</f>
        <v>0</v>
      </c>
      <c r="L1686" s="748">
        <f>'Part V-Utility Allowances'!L14</f>
        <v>0</v>
      </c>
      <c r="M1686" s="748">
        <f>'Part V-Utility Allowances'!M14</f>
        <v>0</v>
      </c>
    </row>
    <row r="1687" spans="1:13">
      <c r="B1687" s="748" t="s">
        <v>2072</v>
      </c>
      <c r="D1687" s="748" t="s">
        <v>3351</v>
      </c>
      <c r="E1687" s="748" t="str">
        <f>'Part V-Utility Allowances'!E15</f>
        <v>Yes</v>
      </c>
      <c r="F1687" s="748" t="str">
        <f>'Part V-Utility Allowances'!F15</f>
        <v>X</v>
      </c>
      <c r="G1687" s="748">
        <f>'Part V-Utility Allowances'!G15</f>
        <v>0</v>
      </c>
      <c r="I1687" s="748">
        <f>'Part V-Utility Allowances'!I15</f>
        <v>0</v>
      </c>
      <c r="J1687" s="748">
        <f>'Part V-Utility Allowances'!J15</f>
        <v>6</v>
      </c>
      <c r="K1687" s="748">
        <f>'Part V-Utility Allowances'!K15</f>
        <v>0</v>
      </c>
      <c r="L1687" s="748">
        <f>'Part V-Utility Allowances'!L15</f>
        <v>0</v>
      </c>
      <c r="M1687" s="748">
        <f>'Part V-Utility Allowances'!M15</f>
        <v>0</v>
      </c>
    </row>
    <row r="1688" spans="1:13">
      <c r="B1688" s="748" t="s">
        <v>2905</v>
      </c>
      <c r="F1688" s="748" t="str">
        <f>'Part V-Utility Allowances'!F16</f>
        <v>X</v>
      </c>
      <c r="G1688" s="748">
        <f>'Part V-Utility Allowances'!G16</f>
        <v>0</v>
      </c>
      <c r="I1688" s="748">
        <f>'Part V-Utility Allowances'!I16</f>
        <v>0</v>
      </c>
      <c r="J1688" s="748">
        <f>'Part V-Utility Allowances'!J16</f>
        <v>24</v>
      </c>
      <c r="K1688" s="748">
        <f>'Part V-Utility Allowances'!K16</f>
        <v>0</v>
      </c>
      <c r="L1688" s="748">
        <f>'Part V-Utility Allowances'!L16</f>
        <v>0</v>
      </c>
      <c r="M1688" s="748">
        <f>'Part V-Utility Allowances'!M16</f>
        <v>0</v>
      </c>
    </row>
    <row r="1689" spans="1:13">
      <c r="B1689" s="748" t="s">
        <v>1640</v>
      </c>
      <c r="I1689" s="748">
        <f>SUM(I1682:I1688)</f>
        <v>0</v>
      </c>
      <c r="J1689" s="748">
        <f>SUM(J1682:J1688)</f>
        <v>113</v>
      </c>
      <c r="K1689" s="748">
        <f>SUM(K1682:K1688)</f>
        <v>0</v>
      </c>
      <c r="L1689" s="748">
        <f>SUM(L1682:L1688)</f>
        <v>0</v>
      </c>
      <c r="M1689" s="748">
        <f>SUM(M1682:M1688)</f>
        <v>0</v>
      </c>
    </row>
    <row r="1691" spans="1:13">
      <c r="A1691" s="748" t="s">
        <v>1229</v>
      </c>
      <c r="B1691" s="748" t="s">
        <v>3353</v>
      </c>
      <c r="F1691" s="748" t="s">
        <v>3806</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t="str">
        <f>'Part V-Utility Allowances'!B36</f>
        <v>Lights include Other Electric (include Base Charge), Range/Microwave, and Refrigerator</v>
      </c>
    </row>
    <row r="1709" spans="2:13">
      <c r="B1709" s="748" t="str">
        <f>'Part V-Utility Allowances'!B37</f>
        <v>The utility allowances are applied to the tenant portion of the rent.</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2011-012 Veteran Senior Housing - Assisted Living, ,  County</v>
      </c>
    </row>
    <row r="1717" spans="1:219" ht="12" customHeight="1"/>
    <row r="1718" spans="1:219" ht="12.6" customHeight="1">
      <c r="A1718" s="748" t="s">
        <v>950</v>
      </c>
      <c r="B1718" s="748" t="s">
        <v>3572</v>
      </c>
      <c r="D1718" s="748" t="s">
        <v>328</v>
      </c>
      <c r="N1718" s="748" t="s">
        <v>886</v>
      </c>
      <c r="O1718" s="748" t="str">
        <f>'Part I-Project Information'!$J$26</f>
        <v>Atlanta-Sandy Springs-Marietta</v>
      </c>
      <c r="EY1718" s="748" t="s">
        <v>716</v>
      </c>
      <c r="EZ1718" s="748" t="s">
        <v>3687</v>
      </c>
      <c r="FA1718" s="748" t="s">
        <v>3688</v>
      </c>
      <c r="FB1718" s="748" t="s">
        <v>3689</v>
      </c>
      <c r="FC1718" s="748" t="s">
        <v>3690</v>
      </c>
      <c r="FI1718" s="748" t="s">
        <v>716</v>
      </c>
      <c r="FJ1718" s="748" t="s">
        <v>3687</v>
      </c>
      <c r="FK1718" s="748" t="s">
        <v>3688</v>
      </c>
      <c r="FL1718" s="748" t="s">
        <v>3689</v>
      </c>
      <c r="FM1718" s="748" t="s">
        <v>3690</v>
      </c>
      <c r="FN1718" s="748" t="s">
        <v>716</v>
      </c>
      <c r="FO1718" s="748" t="s">
        <v>3687</v>
      </c>
      <c r="FP1718" s="748" t="s">
        <v>3688</v>
      </c>
      <c r="FQ1718" s="748" t="s">
        <v>3689</v>
      </c>
      <c r="FR1718" s="748" t="s">
        <v>3690</v>
      </c>
      <c r="FS1718" s="748" t="s">
        <v>716</v>
      </c>
      <c r="FT1718" s="748" t="s">
        <v>3687</v>
      </c>
      <c r="FU1718" s="748" t="s">
        <v>3688</v>
      </c>
      <c r="FV1718" s="748" t="s">
        <v>3689</v>
      </c>
      <c r="FW1718" s="748" t="s">
        <v>3690</v>
      </c>
      <c r="FX1718" s="748" t="s">
        <v>716</v>
      </c>
      <c r="FY1718" s="748" t="s">
        <v>3687</v>
      </c>
      <c r="FZ1718" s="748" t="s">
        <v>3688</v>
      </c>
      <c r="GA1718" s="748" t="s">
        <v>3689</v>
      </c>
      <c r="GB1718" s="748" t="s">
        <v>3690</v>
      </c>
      <c r="GC1718" s="748" t="s">
        <v>716</v>
      </c>
      <c r="GD1718" s="748" t="s">
        <v>3687</v>
      </c>
      <c r="GE1718" s="748" t="s">
        <v>3688</v>
      </c>
      <c r="GF1718" s="748" t="s">
        <v>3689</v>
      </c>
      <c r="GG1718" s="748" t="s">
        <v>3690</v>
      </c>
      <c r="GH1718" s="748" t="s">
        <v>716</v>
      </c>
      <c r="GI1718" s="748" t="s">
        <v>3687</v>
      </c>
      <c r="GJ1718" s="748" t="s">
        <v>3688</v>
      </c>
      <c r="GK1718" s="748" t="s">
        <v>3689</v>
      </c>
      <c r="GL1718" s="748" t="s">
        <v>3690</v>
      </c>
    </row>
    <row r="1719" spans="1:219" ht="12.6" customHeight="1">
      <c r="T1719" s="748" t="s">
        <v>1513</v>
      </c>
      <c r="U1719" s="748" t="s">
        <v>1247</v>
      </c>
      <c r="V1719" s="748" t="s">
        <v>1248</v>
      </c>
      <c r="W1719" s="748" t="s">
        <v>1249</v>
      </c>
      <c r="X1719" s="748" t="s">
        <v>1250</v>
      </c>
      <c r="Y1719" s="748" t="s">
        <v>1514</v>
      </c>
      <c r="Z1719" s="748" t="s">
        <v>3453</v>
      </c>
      <c r="AA1719" s="748" t="s">
        <v>3454</v>
      </c>
      <c r="AB1719" s="748" t="s">
        <v>3455</v>
      </c>
      <c r="AC1719" s="748" t="s">
        <v>3456</v>
      </c>
      <c r="AD1719" s="748" t="s">
        <v>1515</v>
      </c>
      <c r="AE1719" s="748" t="s">
        <v>3457</v>
      </c>
      <c r="AF1719" s="748" t="s">
        <v>3458</v>
      </c>
      <c r="AG1719" s="748" t="s">
        <v>3459</v>
      </c>
      <c r="AH1719" s="748" t="s">
        <v>3460</v>
      </c>
      <c r="AI1719" s="748" t="s">
        <v>152</v>
      </c>
      <c r="AJ1719" s="748" t="s">
        <v>3461</v>
      </c>
      <c r="AK1719" s="748" t="s">
        <v>3462</v>
      </c>
      <c r="AL1719" s="748" t="s">
        <v>3463</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3677</v>
      </c>
      <c r="BS1719" s="748" t="s">
        <v>3678</v>
      </c>
      <c r="BT1719" s="748" t="s">
        <v>3679</v>
      </c>
      <c r="BU1719" s="748" t="s">
        <v>3680</v>
      </c>
      <c r="BV1719" s="748" t="s">
        <v>3681</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3676</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3322</v>
      </c>
      <c r="EK1719" s="748" t="s">
        <v>3323</v>
      </c>
      <c r="EL1719" s="748" t="s">
        <v>3324</v>
      </c>
      <c r="EM1719" s="748" t="s">
        <v>2213</v>
      </c>
      <c r="EN1719" s="748" t="s">
        <v>2214</v>
      </c>
      <c r="EO1719" s="748" t="s">
        <v>29</v>
      </c>
      <c r="EP1719" s="748" t="s">
        <v>30</v>
      </c>
      <c r="EQ1719" s="748" t="s">
        <v>31</v>
      </c>
      <c r="ER1719" s="748" t="s">
        <v>32</v>
      </c>
      <c r="ES1719" s="748" t="s">
        <v>33</v>
      </c>
      <c r="GM1719" s="748" t="s">
        <v>2528</v>
      </c>
      <c r="GN1719" s="748" t="s">
        <v>3812</v>
      </c>
      <c r="GO1719" s="748" t="s">
        <v>3813</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t="str">
        <f>'Part VI-Revenues &amp; Expenses'!G5</f>
        <v>Floating</v>
      </c>
      <c r="P1720" s="748" t="s">
        <v>1658</v>
      </c>
    </row>
    <row r="1721" spans="1:219" ht="13.15" customHeight="1">
      <c r="B1721" s="748" t="s">
        <v>2839</v>
      </c>
      <c r="G1721" s="748" t="str">
        <f>'Part VI-Revenues &amp; Expenses'!G6</f>
        <v>No</v>
      </c>
      <c r="J1721" s="748" t="s">
        <v>3646</v>
      </c>
      <c r="P1721" s="748">
        <f>VLOOKUP('Part I-Project Information'!$J$26,'DCA Underwriting Assumptions'!$C$77:$D$187,2)</f>
        <v>71800</v>
      </c>
    </row>
    <row r="1722" spans="1:219" ht="13.9" customHeight="1">
      <c r="A1722" s="748" t="str">
        <f>IF(A1763&gt;0,"Finish!","")</f>
        <v/>
      </c>
      <c r="J1722" s="748" t="s">
        <v>3647</v>
      </c>
    </row>
    <row r="1723" spans="1:219" ht="13.9" customHeight="1">
      <c r="B1723" s="748" t="s">
        <v>2212</v>
      </c>
      <c r="C1723" s="748" t="s">
        <v>228</v>
      </c>
      <c r="D1723" s="748" t="s">
        <v>839</v>
      </c>
      <c r="E1723" s="748" t="s">
        <v>2210</v>
      </c>
      <c r="F1723" s="748" t="s">
        <v>2210</v>
      </c>
      <c r="G1723" s="748" t="s">
        <v>3618</v>
      </c>
      <c r="H1723" s="748" t="s">
        <v>3616</v>
      </c>
      <c r="I1723" s="748" t="s">
        <v>1380</v>
      </c>
      <c r="J1723" s="748" t="s">
        <v>4092</v>
      </c>
      <c r="K1723" s="748" t="s">
        <v>186</v>
      </c>
      <c r="M1723" s="748" t="s">
        <v>3573</v>
      </c>
      <c r="N1723" s="748" t="s">
        <v>825</v>
      </c>
      <c r="O1723" s="748" t="s">
        <v>487</v>
      </c>
      <c r="P1723" s="748" t="s">
        <v>1665</v>
      </c>
      <c r="ET1723" s="748" t="s">
        <v>2187</v>
      </c>
      <c r="EU1723" s="748" t="s">
        <v>3687</v>
      </c>
      <c r="EV1723" s="748" t="s">
        <v>3688</v>
      </c>
      <c r="EW1723" s="748" t="s">
        <v>3689</v>
      </c>
      <c r="EX1723" s="748" t="s">
        <v>3690</v>
      </c>
      <c r="EY1723" s="748" t="s">
        <v>3777</v>
      </c>
      <c r="EZ1723" s="748" t="s">
        <v>3777</v>
      </c>
      <c r="FA1723" s="748" t="s">
        <v>3777</v>
      </c>
      <c r="FB1723" s="748" t="s">
        <v>3777</v>
      </c>
      <c r="FC1723" s="748" t="s">
        <v>3777</v>
      </c>
      <c r="FD1723" s="748" t="s">
        <v>716</v>
      </c>
      <c r="FE1723" s="748" t="s">
        <v>3687</v>
      </c>
      <c r="FF1723" s="748" t="s">
        <v>3688</v>
      </c>
      <c r="FG1723" s="748" t="s">
        <v>3689</v>
      </c>
      <c r="FH1723" s="748" t="s">
        <v>3690</v>
      </c>
      <c r="FI1723" s="748" t="s">
        <v>3779</v>
      </c>
      <c r="FJ1723" s="748" t="s">
        <v>3779</v>
      </c>
      <c r="FK1723" s="748" t="s">
        <v>3779</v>
      </c>
      <c r="FL1723" s="748" t="s">
        <v>3779</v>
      </c>
      <c r="FM1723" s="748" t="s">
        <v>3779</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3617</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12</v>
      </c>
      <c r="F1725" s="748">
        <f>'Part VI-Revenues &amp; Expenses'!F10</f>
        <v>650</v>
      </c>
      <c r="G1725" s="748">
        <f>'Part VI-Revenues &amp; Expenses'!G10</f>
        <v>641</v>
      </c>
      <c r="H1725" s="748">
        <f>'Part VI-Revenues &amp; Expenses'!H10</f>
        <v>628</v>
      </c>
      <c r="I1725" s="748">
        <f>'Part VI-Revenues &amp; Expenses'!I10</f>
        <v>113</v>
      </c>
      <c r="J1725" s="748">
        <f>'Part VI-Revenues &amp; Expenses'!J10</f>
        <v>0</v>
      </c>
      <c r="K1725" s="748">
        <f>MAX(0,H1725-I1725)</f>
        <v>515</v>
      </c>
      <c r="L1725" s="748">
        <f t="shared" ref="L1725:L1762" si="99">MAX(0,E1725*K1725)</f>
        <v>6180</v>
      </c>
      <c r="M1725" s="748" t="str">
        <f>'Part VI-Revenues &amp; Expenses'!M10</f>
        <v>No</v>
      </c>
      <c r="N1725" s="748" t="str">
        <f>'Part VI-Revenues &amp; Expenses'!N10</f>
        <v>3+ Story</v>
      </c>
      <c r="O1725" s="748" t="str">
        <f>'Part VI-Revenues &amp; Expenses'!O10</f>
        <v>New Construction</v>
      </c>
      <c r="P1725" s="748">
        <f>'Part VI-Revenues &amp; Expenses'!P10</f>
        <v>25120</v>
      </c>
      <c r="Q1725" s="748">
        <f>'Part VI-Revenues &amp; Expenses'!Q10</f>
        <v>0.46648096564531105</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12</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7800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12</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12</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12</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48</v>
      </c>
      <c r="F1726" s="748">
        <f>'Part VI-Revenues &amp; Expenses'!F11</f>
        <v>650</v>
      </c>
      <c r="G1726" s="748">
        <f>'Part VI-Revenues &amp; Expenses'!G11</f>
        <v>769</v>
      </c>
      <c r="H1726" s="748">
        <f>'Part VI-Revenues &amp; Expenses'!H11</f>
        <v>754</v>
      </c>
      <c r="I1726" s="748">
        <f>'Part VI-Revenues &amp; Expenses'!I11</f>
        <v>113</v>
      </c>
      <c r="J1726" s="748">
        <f>'Part VI-Revenues &amp; Expenses'!J11</f>
        <v>0</v>
      </c>
      <c r="K1726" s="748">
        <f t="shared" ref="K1726:K1742" si="271">MAX(0,H1726-I1726)</f>
        <v>641</v>
      </c>
      <c r="L1726" s="748">
        <f t="shared" si="99"/>
        <v>30768</v>
      </c>
      <c r="M1726" s="748" t="str">
        <f>'Part VI-Revenues &amp; Expenses'!M11</f>
        <v>No</v>
      </c>
      <c r="N1726" s="748" t="str">
        <f>'Part VI-Revenues &amp; Expenses'!N11</f>
        <v>3+ Story</v>
      </c>
      <c r="O1726" s="748" t="str">
        <f>'Part VI-Revenues &amp; Expenses'!O11</f>
        <v>New Construction</v>
      </c>
      <c r="P1726" s="748">
        <f>'Part VI-Revenues &amp; Expenses'!P11</f>
        <v>30160</v>
      </c>
      <c r="Q1726" s="748">
        <f>'Part VI-Revenues &amp; Expenses'!Q11</f>
        <v>0.56007428040854224</v>
      </c>
      <c r="R1726" s="748">
        <f>'Part VI-Revenues &amp; Expenses'!R11</f>
        <v>0</v>
      </c>
      <c r="T1726" s="748" t="str">
        <f t="shared" si="100"/>
        <v/>
      </c>
      <c r="U1726" s="748">
        <f t="shared" si="101"/>
        <v>48</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31200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48</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48</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f t="shared" si="241"/>
        <v>48</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f>'Part VI-Revenues &amp; Expenses'!B12</f>
        <v>0</v>
      </c>
      <c r="C1727" s="748">
        <f>'Part VI-Revenues &amp; Expenses'!C12</f>
        <v>0</v>
      </c>
      <c r="D1727" s="748">
        <f>'Part VI-Revenues &amp; Expenses'!D12</f>
        <v>0</v>
      </c>
      <c r="E1727" s="748">
        <f>'Part VI-Revenues &amp; Expenses'!E12</f>
        <v>0</v>
      </c>
      <c r="F1727" s="748">
        <f>'Part VI-Revenues &amp; Expenses'!F12</f>
        <v>0</v>
      </c>
      <c r="G1727" s="748">
        <f>'Part VI-Revenues &amp; Expenses'!G12</f>
        <v>0</v>
      </c>
      <c r="H1727" s="748">
        <f>'Part VI-Revenues &amp; Expenses'!H12</f>
        <v>0</v>
      </c>
      <c r="I1727" s="748">
        <f>'Part VI-Revenues &amp; Expenses'!I12</f>
        <v>0</v>
      </c>
      <c r="J1727" s="748">
        <f>'Part VI-Revenues &amp; Expenses'!J12</f>
        <v>0</v>
      </c>
      <c r="K1727" s="748">
        <f t="shared" si="271"/>
        <v>0</v>
      </c>
      <c r="L1727" s="748">
        <f t="shared" si="99"/>
        <v>0</v>
      </c>
      <c r="M1727" s="748">
        <f>'Part VI-Revenues &amp; Expenses'!M12</f>
        <v>0</v>
      </c>
      <c r="N1727" s="748">
        <f>'Part VI-Revenues &amp; Expenses'!N12</f>
        <v>0</v>
      </c>
      <c r="O1727" s="748">
        <f>'Part VI-Revenues &amp; Expenses'!O12</f>
        <v>0</v>
      </c>
      <c r="P1727" s="748" t="str">
        <f>'Part VI-Revenues &amp; Expenses'!P12</f>
        <v/>
      </c>
      <c r="Q1727" s="748" t="str">
        <f>'Part VI-Revenues &amp; Expenses'!Q12</f>
        <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60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39000</v>
      </c>
      <c r="K1763" s="748" t="s">
        <v>2002</v>
      </c>
      <c r="L1763" s="748">
        <f>SUM(L1725:L1762)</f>
        <v>36948</v>
      </c>
      <c r="T1763" s="748">
        <f t="shared" ref="T1763:CE1763" si="304">SUM(T1725:T1762)</f>
        <v>0</v>
      </c>
      <c r="U1763" s="748">
        <f t="shared" si="304"/>
        <v>48</v>
      </c>
      <c r="V1763" s="748">
        <f t="shared" si="304"/>
        <v>0</v>
      </c>
      <c r="W1763" s="748">
        <f t="shared" si="304"/>
        <v>0</v>
      </c>
      <c r="X1763" s="748">
        <f t="shared" si="304"/>
        <v>0</v>
      </c>
      <c r="Y1763" s="748">
        <f t="shared" si="304"/>
        <v>0</v>
      </c>
      <c r="Z1763" s="748">
        <f t="shared" si="304"/>
        <v>12</v>
      </c>
      <c r="AA1763" s="748">
        <f t="shared" si="304"/>
        <v>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31200</v>
      </c>
      <c r="BY1763" s="748">
        <f t="shared" si="304"/>
        <v>0</v>
      </c>
      <c r="BZ1763" s="748">
        <f t="shared" si="304"/>
        <v>0</v>
      </c>
      <c r="CA1763" s="748">
        <f t="shared" si="304"/>
        <v>0</v>
      </c>
      <c r="CB1763" s="748">
        <f t="shared" si="304"/>
        <v>0</v>
      </c>
      <c r="CC1763" s="748">
        <f t="shared" si="304"/>
        <v>7800</v>
      </c>
      <c r="CD1763" s="748">
        <f t="shared" si="304"/>
        <v>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60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60</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60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443376</v>
      </c>
    </row>
    <row r="1765" spans="1:219" ht="6" customHeight="1"/>
    <row r="1766" spans="1:219" ht="14.45" customHeight="1">
      <c r="A1766" s="748" t="s">
        <v>4093</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48</v>
      </c>
      <c r="J1772" s="748">
        <f>V1763</f>
        <v>0</v>
      </c>
      <c r="K1772" s="748">
        <f>W1763</f>
        <v>0</v>
      </c>
      <c r="L1772" s="748">
        <f>X1763</f>
        <v>0</v>
      </c>
      <c r="M1772" s="748">
        <f t="shared" ref="M1772:M1778" si="308">SUM(H1772:L1772)</f>
        <v>48</v>
      </c>
      <c r="N1772" s="748" t="s">
        <v>1483</v>
      </c>
      <c r="Q1772" s="748">
        <f t="shared" ref="Q1772:Q1778" si="309">ABS(M1772-AD1772)</f>
        <v>0</v>
      </c>
      <c r="T1772" s="748" t="s">
        <v>1778</v>
      </c>
      <c r="X1772" s="748" t="s">
        <v>1791</v>
      </c>
      <c r="Y1772" s="748">
        <f>T1763</f>
        <v>0</v>
      </c>
      <c r="Z1772" s="748">
        <f>U1763</f>
        <v>48</v>
      </c>
      <c r="AA1772" s="748">
        <f>V1763</f>
        <v>0</v>
      </c>
      <c r="AB1772" s="748">
        <f>W1763</f>
        <v>0</v>
      </c>
      <c r="AC1772" s="748">
        <f>X1763</f>
        <v>0</v>
      </c>
      <c r="AD1772" s="748">
        <f t="shared" ref="AD1772:AD1778" si="310">SUM(Y1772:AC1772)</f>
        <v>48</v>
      </c>
      <c r="AE1772" s="748" t="s">
        <v>1555</v>
      </c>
    </row>
    <row r="1773" spans="1:219" ht="15" customHeight="1">
      <c r="A1773" s="748" t="s">
        <v>652</v>
      </c>
      <c r="G1773" s="748" t="s">
        <v>133</v>
      </c>
      <c r="H1773" s="748">
        <f>Y1763</f>
        <v>0</v>
      </c>
      <c r="I1773" s="748">
        <f>Z1763</f>
        <v>12</v>
      </c>
      <c r="J1773" s="748">
        <f>AA1763</f>
        <v>0</v>
      </c>
      <c r="K1773" s="748">
        <f>AB1763</f>
        <v>0</v>
      </c>
      <c r="L1773" s="748">
        <f>AC1763</f>
        <v>0</v>
      </c>
      <c r="M1773" s="748">
        <f t="shared" si="308"/>
        <v>12</v>
      </c>
      <c r="Q1773" s="748">
        <f t="shared" si="309"/>
        <v>0</v>
      </c>
      <c r="X1773" s="748" t="s">
        <v>133</v>
      </c>
      <c r="Y1773" s="748">
        <f>Y1763</f>
        <v>0</v>
      </c>
      <c r="Z1773" s="748">
        <f>Z1763</f>
        <v>12</v>
      </c>
      <c r="AA1773" s="748">
        <f>AA1763</f>
        <v>0</v>
      </c>
      <c r="AB1773" s="748">
        <f>AB1763</f>
        <v>0</v>
      </c>
      <c r="AC1773" s="748">
        <f>AC1763</f>
        <v>0</v>
      </c>
      <c r="AD1773" s="748">
        <f t="shared" si="310"/>
        <v>12</v>
      </c>
    </row>
    <row r="1774" spans="1:219" ht="15" customHeight="1">
      <c r="G1774" s="748" t="s">
        <v>832</v>
      </c>
      <c r="H1774" s="748">
        <f>SUM(H1772:H1773)</f>
        <v>0</v>
      </c>
      <c r="I1774" s="748">
        <f>SUM(I1772:I1773)</f>
        <v>60</v>
      </c>
      <c r="J1774" s="748">
        <f>SUM(J1772:J1773)</f>
        <v>0</v>
      </c>
      <c r="K1774" s="748">
        <f>SUM(K1772:K1773)</f>
        <v>0</v>
      </c>
      <c r="L1774" s="748">
        <f>SUM(L1772:L1773)</f>
        <v>0</v>
      </c>
      <c r="M1774" s="748">
        <f t="shared" si="308"/>
        <v>60</v>
      </c>
      <c r="Q1774" s="748">
        <f t="shared" si="309"/>
        <v>0</v>
      </c>
      <c r="X1774" s="748" t="s">
        <v>832</v>
      </c>
      <c r="Y1774" s="748">
        <f>SUM(Y1772:Y1773)</f>
        <v>0</v>
      </c>
      <c r="Z1774" s="748">
        <f>SUM(Z1772:Z1773)</f>
        <v>60</v>
      </c>
      <c r="AA1774" s="748">
        <f>SUM(AA1772:AA1773)</f>
        <v>0</v>
      </c>
      <c r="AB1774" s="748">
        <f>SUM(AB1772:AB1773)</f>
        <v>0</v>
      </c>
      <c r="AC1774" s="748">
        <f>SUM(AC1772:AC1773)</f>
        <v>0</v>
      </c>
      <c r="AD1774" s="748">
        <f t="shared" si="310"/>
        <v>60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60</v>
      </c>
      <c r="J1776" s="748">
        <f>SUM(J1774:J1775)</f>
        <v>0</v>
      </c>
      <c r="K1776" s="748">
        <f>SUM(K1774:K1775)</f>
        <v>0</v>
      </c>
      <c r="L1776" s="748">
        <f>SUM(L1774:L1775)</f>
        <v>0</v>
      </c>
      <c r="M1776" s="748">
        <f t="shared" si="308"/>
        <v>60</v>
      </c>
      <c r="Q1776" s="748">
        <f t="shared" si="309"/>
        <v>0</v>
      </c>
      <c r="T1776" s="748" t="s">
        <v>1779</v>
      </c>
      <c r="Y1776" s="748">
        <f>SUM(Y1774:Y1775)</f>
        <v>0</v>
      </c>
      <c r="Z1776" s="748">
        <f>SUM(Z1774:Z1775)</f>
        <v>60</v>
      </c>
      <c r="AA1776" s="748">
        <f>SUM(AA1774:AA1775)</f>
        <v>0</v>
      </c>
      <c r="AB1776" s="748">
        <f>SUM(AB1774:AB1775)</f>
        <v>0</v>
      </c>
      <c r="AC1776" s="748">
        <f>SUM(AC1774:AC1775)</f>
        <v>0</v>
      </c>
      <c r="AD1776" s="748">
        <f t="shared" si="310"/>
        <v>60</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60</v>
      </c>
      <c r="J1778" s="748">
        <f>SUM(J1776:J1777)</f>
        <v>0</v>
      </c>
      <c r="K1778" s="748">
        <f>SUM(K1776:K1777)</f>
        <v>0</v>
      </c>
      <c r="L1778" s="748">
        <f>SUM(L1776:L1777)</f>
        <v>0</v>
      </c>
      <c r="M1778" s="748">
        <f t="shared" si="308"/>
        <v>60</v>
      </c>
      <c r="Q1778" s="748">
        <f t="shared" si="309"/>
        <v>0</v>
      </c>
      <c r="T1778" s="748" t="s">
        <v>832</v>
      </c>
      <c r="Y1778" s="748">
        <f>SUM(Y1776:Y1777)</f>
        <v>0</v>
      </c>
      <c r="Z1778" s="748">
        <f>SUM(Z1776:Z1777)</f>
        <v>60</v>
      </c>
      <c r="AA1778" s="748">
        <f>SUM(AA1776:AA1777)</f>
        <v>0</v>
      </c>
      <c r="AB1778" s="748">
        <f>SUM(AB1776:AB1777)</f>
        <v>0</v>
      </c>
      <c r="AC1778" s="748">
        <f>SUM(AC1776:AC1777)</f>
        <v>0</v>
      </c>
      <c r="AD1778" s="748">
        <f t="shared" si="310"/>
        <v>60</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2154</v>
      </c>
      <c r="H1788" s="748">
        <f>DA1763</f>
        <v>0</v>
      </c>
      <c r="I1788" s="748">
        <f>DB1763</f>
        <v>60</v>
      </c>
      <c r="J1788" s="748">
        <f>DC1763</f>
        <v>0</v>
      </c>
      <c r="K1788" s="748">
        <f>DD1763</f>
        <v>0</v>
      </c>
      <c r="L1788" s="748">
        <f>DE1763</f>
        <v>0</v>
      </c>
      <c r="M1788" s="748">
        <f t="shared" ref="M1788:M1798" si="311">SUM(H1788:L1788)</f>
        <v>60</v>
      </c>
      <c r="Q1788" s="748">
        <f t="shared" ref="Q1788:Q1796" si="312">ABS(M1788-AD1788)</f>
        <v>0</v>
      </c>
      <c r="V1788" s="748" t="s">
        <v>3436</v>
      </c>
      <c r="X1788" s="748" t="s">
        <v>2154</v>
      </c>
      <c r="Y1788" s="748">
        <f>DA1763</f>
        <v>0</v>
      </c>
      <c r="Z1788" s="748">
        <f>DB1763</f>
        <v>60</v>
      </c>
      <c r="AA1788" s="748">
        <f>DC1763</f>
        <v>0</v>
      </c>
      <c r="AB1788" s="748">
        <f>DD1763</f>
        <v>0</v>
      </c>
      <c r="AC1788" s="748">
        <f>DE1763</f>
        <v>0</v>
      </c>
      <c r="AD1788" s="748">
        <f t="shared" ref="AD1788:AD1796" si="313">SUM(Y1788:AC1788)</f>
        <v>60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60</v>
      </c>
      <c r="J1790" s="748">
        <f>SUM(J1788:J1789)+DM1763</f>
        <v>0</v>
      </c>
      <c r="K1790" s="748">
        <f>SUM(K1788:K1789)+DN1763</f>
        <v>0</v>
      </c>
      <c r="L1790" s="748">
        <f>SUM(L1788:L1789)+DO1763</f>
        <v>0</v>
      </c>
      <c r="M1790" s="748">
        <f t="shared" si="311"/>
        <v>60</v>
      </c>
      <c r="Q1790" s="748">
        <f t="shared" si="312"/>
        <v>0</v>
      </c>
      <c r="X1790" s="748" t="s">
        <v>34</v>
      </c>
      <c r="Y1790" s="748">
        <f>SUM(Y1788:Y1789)+DK1763</f>
        <v>0</v>
      </c>
      <c r="Z1790" s="748">
        <f>SUM(Z1788:Z1789)+DL1763</f>
        <v>60</v>
      </c>
      <c r="AA1790" s="748">
        <f>SUM(AA1788:AA1789)+DM1763</f>
        <v>0</v>
      </c>
      <c r="AB1790" s="748">
        <f>SUM(AB1788:AB1789)+DN1763</f>
        <v>0</v>
      </c>
      <c r="AC1790" s="748">
        <f>SUM(AC1788:AC1789)+DO1763</f>
        <v>0</v>
      </c>
      <c r="AD1790" s="748">
        <f t="shared" si="313"/>
        <v>60</v>
      </c>
    </row>
    <row r="1791" spans="3:31" ht="15" customHeight="1">
      <c r="E1791" s="748" t="s">
        <v>3238</v>
      </c>
      <c r="G1791" s="748" t="s">
        <v>2154</v>
      </c>
      <c r="H1791" s="748">
        <f>DP1763</f>
        <v>0</v>
      </c>
      <c r="I1791" s="748">
        <f>DQ1763</f>
        <v>0</v>
      </c>
      <c r="J1791" s="748">
        <f>DR1763</f>
        <v>0</v>
      </c>
      <c r="K1791" s="748">
        <f>DS1763</f>
        <v>0</v>
      </c>
      <c r="L1791" s="748">
        <f>DT1763</f>
        <v>0</v>
      </c>
      <c r="M1791" s="748">
        <f t="shared" si="311"/>
        <v>0</v>
      </c>
      <c r="Q1791" s="748">
        <f t="shared" si="312"/>
        <v>0</v>
      </c>
      <c r="V1791" s="748" t="s">
        <v>3238</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3142</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60</v>
      </c>
      <c r="J1800" s="748">
        <f>EV1763</f>
        <v>0</v>
      </c>
      <c r="K1800" s="748">
        <f>EW1763</f>
        <v>0</v>
      </c>
      <c r="L1800" s="748">
        <f>EX1763</f>
        <v>0</v>
      </c>
      <c r="M1800" s="748">
        <f>SUM(H1800:L1800)</f>
        <v>60</v>
      </c>
      <c r="Q1800" s="748">
        <f>ABS(M1800-AD1800)</f>
        <v>0</v>
      </c>
      <c r="V1800" s="748" t="s">
        <v>46</v>
      </c>
      <c r="Y1800" s="748">
        <f>ET1763</f>
        <v>0</v>
      </c>
      <c r="Z1800" s="748">
        <f>EU1763</f>
        <v>60</v>
      </c>
      <c r="AA1800" s="748">
        <f>EV1763</f>
        <v>0</v>
      </c>
      <c r="AB1800" s="748">
        <f>EW1763</f>
        <v>0</v>
      </c>
      <c r="AC1800" s="748">
        <f>EX1763</f>
        <v>0</v>
      </c>
      <c r="AD1800" s="748">
        <f>SUM(Y1800:AC1800)</f>
        <v>60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1777</v>
      </c>
    </row>
    <row r="1807" spans="2:30" ht="15" customHeight="1">
      <c r="C1807" s="748" t="s">
        <v>3237</v>
      </c>
      <c r="G1807" s="748" t="s">
        <v>1791</v>
      </c>
      <c r="H1807" s="748">
        <f>BW1763</f>
        <v>0</v>
      </c>
      <c r="I1807" s="748">
        <f>BX1763</f>
        <v>31200</v>
      </c>
      <c r="J1807" s="748">
        <f>BY1763</f>
        <v>0</v>
      </c>
      <c r="K1807" s="748">
        <f>BZ1763</f>
        <v>0</v>
      </c>
      <c r="L1807" s="748">
        <f>CA1763</f>
        <v>0</v>
      </c>
      <c r="M1807" s="748">
        <f t="shared" ref="M1807:M1813" si="314">SUM(H1807:L1807)</f>
        <v>31200</v>
      </c>
      <c r="Q1807" s="748">
        <f t="shared" ref="Q1807:Q1813" si="315">ABS(M1807-AD1807)</f>
        <v>0</v>
      </c>
      <c r="T1807" s="748" t="s">
        <v>3237</v>
      </c>
      <c r="X1807" s="748" t="s">
        <v>1791</v>
      </c>
      <c r="Y1807" s="748">
        <f>BW1763</f>
        <v>0</v>
      </c>
      <c r="Z1807" s="748">
        <f>BX1763</f>
        <v>31200</v>
      </c>
      <c r="AA1807" s="748">
        <f>BY1763</f>
        <v>0</v>
      </c>
      <c r="AB1807" s="748">
        <f>BZ1763</f>
        <v>0</v>
      </c>
      <c r="AC1807" s="748">
        <f>CA1763</f>
        <v>0</v>
      </c>
      <c r="AD1807" s="748">
        <f t="shared" ref="AD1807:AD1813" si="316">SUM(Y1807:AC1807)</f>
        <v>31200</v>
      </c>
    </row>
    <row r="1808" spans="2:30" ht="15" customHeight="1">
      <c r="G1808" s="748" t="s">
        <v>133</v>
      </c>
      <c r="H1808" s="748">
        <f>CB1763</f>
        <v>0</v>
      </c>
      <c r="I1808" s="748">
        <f>CC1763</f>
        <v>7800</v>
      </c>
      <c r="J1808" s="748">
        <f>CD1763</f>
        <v>0</v>
      </c>
      <c r="K1808" s="748">
        <f>CE1763</f>
        <v>0</v>
      </c>
      <c r="L1808" s="748">
        <f>CF1763</f>
        <v>0</v>
      </c>
      <c r="M1808" s="748">
        <f t="shared" si="314"/>
        <v>7800</v>
      </c>
      <c r="Q1808" s="748">
        <f t="shared" si="315"/>
        <v>0</v>
      </c>
      <c r="X1808" s="748" t="s">
        <v>133</v>
      </c>
      <c r="Y1808" s="748">
        <f>CB1763</f>
        <v>0</v>
      </c>
      <c r="Z1808" s="748">
        <f>CC1763</f>
        <v>7800</v>
      </c>
      <c r="AA1808" s="748">
        <f>CD1763</f>
        <v>0</v>
      </c>
      <c r="AB1808" s="748">
        <f>CE1763</f>
        <v>0</v>
      </c>
      <c r="AC1808" s="748">
        <f>CF1763</f>
        <v>0</v>
      </c>
      <c r="AD1808" s="748">
        <f t="shared" si="316"/>
        <v>7800</v>
      </c>
    </row>
    <row r="1809" spans="1:30" ht="15" customHeight="1">
      <c r="G1809" s="748" t="s">
        <v>832</v>
      </c>
      <c r="H1809" s="748">
        <f>SUM(H1807:H1808)</f>
        <v>0</v>
      </c>
      <c r="I1809" s="748">
        <f>SUM(I1807:I1808)</f>
        <v>39000</v>
      </c>
      <c r="J1809" s="748">
        <f>SUM(J1807:J1808)</f>
        <v>0</v>
      </c>
      <c r="K1809" s="748">
        <f>SUM(K1807:K1808)</f>
        <v>0</v>
      </c>
      <c r="L1809" s="748">
        <f>SUM(L1807:L1808)</f>
        <v>0</v>
      </c>
      <c r="M1809" s="748">
        <f t="shared" si="314"/>
        <v>39000</v>
      </c>
      <c r="Q1809" s="748">
        <f t="shared" si="315"/>
        <v>0</v>
      </c>
      <c r="X1809" s="748" t="s">
        <v>832</v>
      </c>
      <c r="Y1809" s="748">
        <f>SUM(Y1807:Y1808)</f>
        <v>0</v>
      </c>
      <c r="Z1809" s="748">
        <f>SUM(Z1807:Z1808)</f>
        <v>39000</v>
      </c>
      <c r="AA1809" s="748">
        <f>SUM(AA1807:AA1808)</f>
        <v>0</v>
      </c>
      <c r="AB1809" s="748">
        <f>SUM(AB1807:AB1808)</f>
        <v>0</v>
      </c>
      <c r="AC1809" s="748">
        <f>SUM(AC1807:AC1808)</f>
        <v>0</v>
      </c>
      <c r="AD1809" s="748">
        <f t="shared" si="316"/>
        <v>39000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39000</v>
      </c>
      <c r="J1811" s="748">
        <f>SUM(J1809:J1810)</f>
        <v>0</v>
      </c>
      <c r="K1811" s="748">
        <f>SUM(K1809:K1810)</f>
        <v>0</v>
      </c>
      <c r="L1811" s="748">
        <f>SUM(L1809:L1810)</f>
        <v>0</v>
      </c>
      <c r="M1811" s="748">
        <f t="shared" si="314"/>
        <v>39000</v>
      </c>
      <c r="Q1811" s="748">
        <f t="shared" si="315"/>
        <v>0</v>
      </c>
      <c r="T1811" s="748" t="s">
        <v>1779</v>
      </c>
      <c r="Y1811" s="748">
        <f>SUM(Y1809:Y1810)</f>
        <v>0</v>
      </c>
      <c r="Z1811" s="748">
        <f>SUM(Z1809:Z1810)</f>
        <v>39000</v>
      </c>
      <c r="AA1811" s="748">
        <f>SUM(AA1809:AA1810)</f>
        <v>0</v>
      </c>
      <c r="AB1811" s="748">
        <f>SUM(AB1809:AB1810)</f>
        <v>0</v>
      </c>
      <c r="AC1811" s="748">
        <f>SUM(AC1809:AC1810)</f>
        <v>0</v>
      </c>
      <c r="AD1811" s="748">
        <f t="shared" si="316"/>
        <v>39000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39000</v>
      </c>
      <c r="J1813" s="748">
        <f>SUM(J1811:J1812)</f>
        <v>0</v>
      </c>
      <c r="K1813" s="748">
        <f>SUM(K1811:K1812)</f>
        <v>0</v>
      </c>
      <c r="L1813" s="748">
        <f>SUM(L1811:L1812)</f>
        <v>0</v>
      </c>
      <c r="M1813" s="748">
        <f t="shared" si="314"/>
        <v>39000</v>
      </c>
      <c r="Q1813" s="748">
        <f t="shared" si="315"/>
        <v>0</v>
      </c>
      <c r="T1813" s="748" t="s">
        <v>832</v>
      </c>
      <c r="Y1813" s="748">
        <f>SUM(Y1811:Y1812)</f>
        <v>0</v>
      </c>
      <c r="Z1813" s="748">
        <f>SUM(Z1811:Z1812)</f>
        <v>39000</v>
      </c>
      <c r="AA1813" s="748">
        <f>SUM(AA1811:AA1812)</f>
        <v>0</v>
      </c>
      <c r="AB1813" s="748">
        <f>SUM(AB1811:AB1812)</f>
        <v>0</v>
      </c>
      <c r="AC1813" s="748">
        <f>SUM(AC1811:AC1812)</f>
        <v>0</v>
      </c>
      <c r="AD1813" s="748">
        <f t="shared" si="316"/>
        <v>39000</v>
      </c>
    </row>
    <row r="1814" spans="1:30" ht="4.9000000000000004" customHeight="1"/>
    <row r="1815" spans="1:30" ht="13.9" customHeight="1">
      <c r="A1815" s="748" t="s">
        <v>1231</v>
      </c>
      <c r="B1815" s="748" t="s">
        <v>4094</v>
      </c>
    </row>
    <row r="1816" spans="1:30" ht="9" customHeight="1"/>
    <row r="1817" spans="1:30" ht="12.6" customHeight="1">
      <c r="B1817" s="748" t="s">
        <v>1632</v>
      </c>
      <c r="G1817" s="748">
        <f>0.02*L1764</f>
        <v>8867.52</v>
      </c>
      <c r="I1817" s="748" t="s">
        <v>3753</v>
      </c>
    </row>
    <row r="1818" spans="1:30" ht="15" customHeight="1"/>
    <row r="1819" spans="1:30" ht="13.9" customHeight="1">
      <c r="B1819" s="748" t="s">
        <v>2169</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4095</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4096</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4095</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4096</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4095</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4096</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3304</v>
      </c>
      <c r="F1857" s="748">
        <f>'Part VI-Revenues &amp; Expenses'!F142</f>
        <v>60000</v>
      </c>
      <c r="I1857" s="748" t="s">
        <v>2080</v>
      </c>
      <c r="K1857" s="748">
        <f>'Part VI-Revenues &amp; Expenses'!K142</f>
        <v>0</v>
      </c>
      <c r="N1857" s="748" t="s">
        <v>1524</v>
      </c>
      <c r="P1857" s="748">
        <f>'Part VI-Revenues &amp; Expenses'!P142</f>
        <v>24089.261840746669</v>
      </c>
    </row>
    <row r="1858" spans="2:16" ht="15.6" customHeight="1">
      <c r="B1858" s="748" t="s">
        <v>2069</v>
      </c>
      <c r="F1858" s="748">
        <f>'Part VI-Revenues &amp; Expenses'!F143</f>
        <v>37571.199999999997</v>
      </c>
      <c r="I1858" s="748" t="s">
        <v>2081</v>
      </c>
      <c r="K1858" s="748">
        <f>'Part VI-Revenues &amp; Expenses'!K143</f>
        <v>6000</v>
      </c>
      <c r="N1858" s="748" t="s">
        <v>200</v>
      </c>
      <c r="P1858" s="748">
        <f>'Part VI-Revenues &amp; Expenses'!P143</f>
        <v>16000</v>
      </c>
    </row>
    <row r="1859" spans="2:16" ht="15.6" customHeight="1">
      <c r="B1859" s="748" t="s">
        <v>1916</v>
      </c>
      <c r="F1859" s="748">
        <f>'Part VI-Revenues &amp; Expenses'!F144</f>
        <v>28000</v>
      </c>
      <c r="J1859" s="748" t="s">
        <v>249</v>
      </c>
      <c r="K1859" s="748">
        <f>SUM(K1857:L1858)</f>
        <v>6000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40089.261840746665</v>
      </c>
    </row>
    <row r="1861" spans="2:16" ht="15.6" customHeight="1">
      <c r="C1861" s="748" t="s">
        <v>249</v>
      </c>
      <c r="F1861" s="748">
        <f>SUM(F1857:G1860)</f>
        <v>125571.2</v>
      </c>
    </row>
    <row r="1862" spans="2:16" ht="9" customHeight="1"/>
    <row r="1863" spans="2:16" ht="13.15" customHeight="1">
      <c r="B1863" s="748" t="s">
        <v>1991</v>
      </c>
      <c r="I1863" s="748" t="s">
        <v>1992</v>
      </c>
      <c r="N1863" s="748" t="s">
        <v>2082</v>
      </c>
      <c r="P1863" s="748">
        <f>IF(OR('Part VII-Pro Forma'!$B$20 = "Choose Mgt Fee",'Part VII-Pro Forma'!$B$20 = "Choose One!"), 0,- 'Part VII-Pro Forma'!$B$20)</f>
        <v>25235</v>
      </c>
    </row>
    <row r="1864" spans="2:16" ht="15.6" customHeight="1">
      <c r="B1864" s="748" t="s">
        <v>2074</v>
      </c>
      <c r="F1864" s="748">
        <f>'Part VI-Revenues &amp; Expenses'!F149</f>
        <v>12240</v>
      </c>
      <c r="I1864" s="748" t="s">
        <v>2364</v>
      </c>
      <c r="K1864" s="748">
        <f>'Part VI-Revenues &amp; Expenses'!K149</f>
        <v>2316</v>
      </c>
      <c r="N1864" s="748">
        <f>+P1863/(M1778*0.93)</f>
        <v>452.2401433691756</v>
      </c>
      <c r="O1864" s="748" t="s">
        <v>3863</v>
      </c>
    </row>
    <row r="1865" spans="2:16" ht="15.6" customHeight="1">
      <c r="B1865" s="748" t="s">
        <v>2075</v>
      </c>
      <c r="F1865" s="748">
        <f>'Part VI-Revenues &amp; Expenses'!F150</f>
        <v>2340</v>
      </c>
      <c r="I1865" s="748" t="s">
        <v>3141</v>
      </c>
      <c r="K1865" s="748">
        <f>'Part VI-Revenues &amp; Expenses'!K150</f>
        <v>2160</v>
      </c>
      <c r="N1865" s="748">
        <f>+P1863/(M1778*0.93)/12</f>
        <v>37.686678614097964</v>
      </c>
      <c r="O1865" s="748" t="s">
        <v>3864</v>
      </c>
    </row>
    <row r="1866" spans="2:16" ht="15.6" customHeight="1">
      <c r="B1866" s="748" t="s">
        <v>2076</v>
      </c>
      <c r="F1866" s="748">
        <f>'Part VI-Revenues &amp; Expenses'!F151</f>
        <v>0</v>
      </c>
      <c r="I1866" s="748" t="s">
        <v>2365</v>
      </c>
      <c r="K1866" s="748">
        <f>'Part VI-Revenues &amp; Expenses'!K151</f>
        <v>12444</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2362</v>
      </c>
      <c r="F1868" s="748">
        <f>'Part VI-Revenues &amp; Expenses'!F153</f>
        <v>4600</v>
      </c>
      <c r="J1868" s="748" t="s">
        <v>249</v>
      </c>
      <c r="K1868" s="748">
        <f>SUM(K1864:K1867)</f>
        <v>16920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19180</v>
      </c>
    </row>
    <row r="1871" spans="2:16" ht="9" customHeight="1"/>
    <row r="1872" spans="2:16" ht="13.15" customHeight="1">
      <c r="B1872" s="748" t="s">
        <v>1993</v>
      </c>
      <c r="I1872" s="748" t="s">
        <v>2077</v>
      </c>
      <c r="J1872" s="748" t="s">
        <v>3555</v>
      </c>
      <c r="N1872" s="748" t="s">
        <v>3294</v>
      </c>
    </row>
    <row r="1873" spans="1:16" ht="15.6" customHeight="1">
      <c r="B1873" s="748" t="s">
        <v>2366</v>
      </c>
      <c r="F1873" s="748">
        <f>'Part VI-Revenues &amp; Expenses'!F158</f>
        <v>7920</v>
      </c>
      <c r="I1873" s="748" t="s">
        <v>2070</v>
      </c>
      <c r="J1873" s="748" t="e">
        <f>K1873/12/$M$63</f>
        <v>#DIV/0!</v>
      </c>
      <c r="K1873" s="748">
        <f>'Part VI-Revenues &amp; Expenses'!K158</f>
        <v>22608</v>
      </c>
      <c r="N1873" s="748" t="e">
        <f>+$P$158/$M$63</f>
        <v>#DIV/0!</v>
      </c>
      <c r="O1873" s="748" t="s">
        <v>2110</v>
      </c>
      <c r="P1873" s="748">
        <f>F1861+F1870+F1881+K1859+K1868+K1878+P1860+P1863</f>
        <v>314277.46184074669</v>
      </c>
    </row>
    <row r="1874" spans="1:16" ht="15.6" customHeight="1">
      <c r="B1874" s="748" t="s">
        <v>2367</v>
      </c>
      <c r="F1874" s="748">
        <f>'Part VI-Revenues &amp; Expenses'!F159</f>
        <v>4000</v>
      </c>
      <c r="I1874" s="748" t="s">
        <v>2071</v>
      </c>
      <c r="J1874" s="748" t="e">
        <f>K1874/12/$M$63</f>
        <v>#DIV/0!</v>
      </c>
      <c r="K1874" s="748">
        <f>'Part VI-Revenues &amp; Expenses'!K159</f>
        <v>9792</v>
      </c>
    </row>
    <row r="1875" spans="1:16" ht="15.6" customHeight="1">
      <c r="B1875" s="748" t="s">
        <v>2368</v>
      </c>
      <c r="F1875" s="748">
        <f>'Part VI-Revenues &amp; Expenses'!F160</f>
        <v>6480</v>
      </c>
      <c r="I1875" s="748" t="s">
        <v>3554</v>
      </c>
      <c r="J1875" s="748" t="e">
        <f>K1875/12/$M$63</f>
        <v>#DIV/0!</v>
      </c>
      <c r="K1875" s="748">
        <f>'Part VI-Revenues &amp; Expenses'!K160</f>
        <v>13862</v>
      </c>
    </row>
    <row r="1876" spans="1:16" ht="15.6" customHeight="1">
      <c r="B1876" s="748" t="s">
        <v>1616</v>
      </c>
      <c r="F1876" s="748">
        <f>'Part VI-Revenues &amp; Expenses'!F161</f>
        <v>4200</v>
      </c>
      <c r="I1876" s="748" t="s">
        <v>2073</v>
      </c>
      <c r="K1876" s="748">
        <f>'Part VI-Revenues &amp; Expenses'!K161</f>
        <v>1920</v>
      </c>
      <c r="N1876" s="748" t="s">
        <v>1922</v>
      </c>
      <c r="P1876" s="748">
        <f>P1877*M1778</f>
        <v>21000</v>
      </c>
    </row>
    <row r="1877" spans="1:16" ht="15.6" customHeight="1">
      <c r="B1877" s="748" t="s">
        <v>1617</v>
      </c>
      <c r="F1877" s="748">
        <f>'Part VI-Revenues &amp; Expenses'!F162</f>
        <v>4320</v>
      </c>
      <c r="I1877" s="748" t="str">
        <f>'Part VI-Revenues &amp; Expenses'!I162</f>
        <v>Cable</v>
      </c>
      <c r="K1877" s="748">
        <f>'Part VI-Revenues &amp; Expenses'!K162</f>
        <v>3900</v>
      </c>
      <c r="N1877" s="748" t="s">
        <v>679</v>
      </c>
      <c r="P1877" s="748">
        <f>'Part VI-Revenues &amp; Expenses'!P162</f>
        <v>350</v>
      </c>
    </row>
    <row r="1878" spans="1:16" ht="15.6" customHeight="1">
      <c r="B1878" s="748" t="s">
        <v>1618</v>
      </c>
      <c r="F1878" s="748">
        <f>'Part VI-Revenues &amp; Expenses'!F163</f>
        <v>2280</v>
      </c>
      <c r="J1878" s="748" t="s">
        <v>249</v>
      </c>
      <c r="K1878" s="748">
        <f>SUM(K1873:K1877)</f>
        <v>52082</v>
      </c>
    </row>
    <row r="1879" spans="1:16" ht="15.6" customHeight="1">
      <c r="B1879" s="748" t="s">
        <v>1458</v>
      </c>
      <c r="F1879" s="748">
        <f>'Part VI-Revenues &amp; Expenses'!F164</f>
        <v>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29200</v>
      </c>
      <c r="P1881" s="748">
        <f>P1873+P1876</f>
        <v>335277.46184074669</v>
      </c>
    </row>
    <row r="1882" spans="1:16" ht="10.9" customHeight="1"/>
    <row r="1883" spans="1:16" ht="12" customHeight="1">
      <c r="A1883" s="748" t="s">
        <v>2825</v>
      </c>
      <c r="B1883" s="748" t="s">
        <v>879</v>
      </c>
      <c r="K1883" s="748" t="s">
        <v>822</v>
      </c>
      <c r="L1883" s="748" t="s">
        <v>2898</v>
      </c>
    </row>
    <row r="1884" spans="1:16" ht="51.6" customHeight="1">
      <c r="A1884" s="748" t="str">
        <f>'Part VI-Revenues &amp; Expenses'!A169</f>
        <v xml:space="preserve"> The Real Estate Taxes are calculated by Dividing the NOI by an acceptable Cap Rate of 6% which equals the FMV.  The FMV is multiplied by 40% taxable assement then multiplied by the 2010 millage rate of 0.04009 - This calucation is included in Tab 8.</v>
      </c>
      <c r="K1884" s="748">
        <f>'Part VI-Revenues &amp; Expenses'!K169</f>
        <v>0</v>
      </c>
    </row>
    <row r="1885" spans="1:16" ht="51.6" customHeight="1">
      <c r="A1885" s="748" t="str">
        <f>'Part VI-Revenues &amp; Expenses'!A170</f>
        <v>The  insurance amount is based upon a quote from McGriff Seibels Williams that is included in Tab 8.  The quote includes permanent property, general liability, and umbrella coverage using current pricing of $8,461.71.  the remaining balance of $7,538.29 is estimated for an contracted services</v>
      </c>
      <c r="K1885" s="748">
        <f>'Part VI-Revenues &amp; Expenses'!K170</f>
        <v>0</v>
      </c>
    </row>
    <row r="1886" spans="1:16" ht="51.6" customHeight="1">
      <c r="A1886" s="748" t="str">
        <f>'Part VI-Revenues &amp; Expenses'!A171</f>
        <v xml:space="preserve">  The Replacement Reserve amount per unit per year is the calculated amount required by the Equity Syndicator.  That calculation yields the largest replacement reserve requirement.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2011-012 Veteran Senior Housing - Assisted Living, ,  County</v>
      </c>
    </row>
    <row r="1891" spans="1:11">
      <c r="A1891" s="748" t="s">
        <v>100</v>
      </c>
      <c r="D1891" s="748" t="s">
        <v>90</v>
      </c>
      <c r="F1891" s="748" t="s">
        <v>4097</v>
      </c>
    </row>
    <row r="1893" spans="1:11">
      <c r="A1893" s="748" t="s">
        <v>3296</v>
      </c>
      <c r="B1893" s="748">
        <v>0.02</v>
      </c>
      <c r="D1893" s="748" t="s">
        <v>1365</v>
      </c>
      <c r="G1893" s="748">
        <f>'Part VII-Pro Forma'!G5</f>
        <v>10000</v>
      </c>
      <c r="H1893" s="748" t="s">
        <v>2972</v>
      </c>
      <c r="K1893" s="748" t="str">
        <f>IF(($B$14+$B$15+$B$16+$B$17)=0,"",-B1918/($B$14+$B$15+$B$16+$B$17))</f>
        <v/>
      </c>
    </row>
    <row r="1894" spans="1:11">
      <c r="A1894" s="748" t="s">
        <v>3297</v>
      </c>
      <c r="B1894" s="748">
        <v>0.03</v>
      </c>
      <c r="D1894" s="748" t="s">
        <v>1366</v>
      </c>
      <c r="G1894" s="748" t="str">
        <f>'Part VII-Pro Forma'!G6</f>
        <v>80% Cashflow</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f>'Part VII-Pro Forma'!G8</f>
        <v>0</v>
      </c>
      <c r="H1896" s="748" t="s">
        <v>2168</v>
      </c>
      <c r="K1896" s="748">
        <f>'Part VII-Pro Forma'!K8</f>
        <v>0</v>
      </c>
    </row>
    <row r="1897" spans="1:11">
      <c r="A1897" s="748" t="s">
        <v>2129</v>
      </c>
      <c r="B1897" s="748">
        <v>0.02</v>
      </c>
      <c r="D1897" s="748" t="s">
        <v>2743</v>
      </c>
      <c r="G1897" s="748" t="str">
        <f>'Part VII-Pro Forma'!G9</f>
        <v>Yes</v>
      </c>
      <c r="H1897" s="748" t="s">
        <v>3562</v>
      </c>
      <c r="K1897" s="748">
        <f>'Part VII-Pro Forma'!K9</f>
        <v>0.06</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-56561.941022378742</v>
      </c>
      <c r="C1913" s="748">
        <f>'Part VII-Pro Forma'!C25</f>
        <v>-56561.941022378742</v>
      </c>
      <c r="D1913" s="748">
        <f>'Part VII-Pro Forma'!D25</f>
        <v>-56561.941022378742</v>
      </c>
      <c r="E1913" s="748">
        <f>'Part VII-Pro Forma'!E25</f>
        <v>-56561.941022378742</v>
      </c>
      <c r="F1913" s="748">
        <f>'Part VII-Pro Forma'!F25</f>
        <v>-56561.941022378742</v>
      </c>
      <c r="G1913" s="748">
        <f>'Part VII-Pro Forma'!G25</f>
        <v>-56561.941022378742</v>
      </c>
      <c r="H1913" s="748">
        <f>'Part VII-Pro Forma'!H25</f>
        <v>-56561.941022378742</v>
      </c>
      <c r="I1913" s="748">
        <f>'Part VII-Pro Forma'!I25</f>
        <v>-56561.941022378742</v>
      </c>
      <c r="J1913" s="748">
        <f>'Part VII-Pro Forma'!J25</f>
        <v>-56561.941022378742</v>
      </c>
      <c r="K1913" s="748">
        <f>'Part VII-Pro Forma'!K25</f>
        <v>-56561.941022378742</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-10000</v>
      </c>
      <c r="C1918" s="748">
        <f>'Part VII-Pro Forma'!C30</f>
        <v>-10103</v>
      </c>
      <c r="D1918" s="748">
        <f>'Part VII-Pro Forma'!D30</f>
        <v>-10207.0609</v>
      </c>
      <c r="E1918" s="748">
        <f>'Part VII-Pro Forma'!E30</f>
        <v>-10312.19362727</v>
      </c>
      <c r="F1918" s="748">
        <f>'Part VII-Pro Forma'!F30</f>
        <v>-10418.409221630882</v>
      </c>
      <c r="G1918" s="748">
        <f>'Part VII-Pro Forma'!G30</f>
        <v>-10525.71883661368</v>
      </c>
      <c r="H1918" s="748">
        <f>'Part VII-Pro Forma'!H30</f>
        <v>-10634.133740630801</v>
      </c>
      <c r="I1918" s="748">
        <f>'Part VII-Pro Forma'!I30</f>
        <v>-10743.665318159299</v>
      </c>
      <c r="J1918" s="748">
        <f>'Part VII-Pro Forma'!J30</f>
        <v>-10854.32507093634</v>
      </c>
      <c r="K1918" s="748">
        <f>'Part VII-Pro Forma'!K30</f>
        <v>-10966.124619166985</v>
      </c>
    </row>
    <row r="1919" spans="1:11">
      <c r="A1919" s="748" t="s">
        <v>1864</v>
      </c>
      <c r="B1919" s="748">
        <f>'Part VII-Pro Forma'!B31</f>
        <v>-545</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-14561.656589499675</v>
      </c>
      <c r="C1920" s="748">
        <f>'Part VII-Pro Forma'!C32</f>
        <v>-13799.621082921745</v>
      </c>
      <c r="D1920" s="748">
        <f>'Part VII-Pro Forma'!D32</f>
        <v>-12504.093955370467</v>
      </c>
      <c r="E1920" s="748">
        <f>'Part VII-Pro Forma'!E32</f>
        <v>-11107.061301285119</v>
      </c>
      <c r="F1920" s="748">
        <f>'Part VII-Pro Forma'!F32</f>
        <v>-9604.3620526177547</v>
      </c>
      <c r="G1920" s="748">
        <f>'Part VII-Pro Forma'!G32</f>
        <v>-7990.0830273812089</v>
      </c>
      <c r="H1920" s="748">
        <f>'Part VII-Pro Forma'!H32</f>
        <v>-6261.3538189059709</v>
      </c>
      <c r="I1920" s="748">
        <f>'Part VII-Pro Forma'!I32</f>
        <v>-4412.7415208098018</v>
      </c>
      <c r="J1920" s="748">
        <f>'Part VII-Pro Forma'!J32</f>
        <v>-2438.6452825336441</v>
      </c>
      <c r="K1920" s="748">
        <f>'Part VII-Pro Forma'!K32</f>
        <v>-334.89069013593837</v>
      </c>
    </row>
    <row r="1921" spans="1:11">
      <c r="A1921" s="748" t="s">
        <v>1809</v>
      </c>
      <c r="B1921" s="748">
        <f t="shared" ref="B1921:K1921" si="330">SUM(B1910:B1920)</f>
        <v>-81668.597611878417</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455429.65999421204</v>
      </c>
      <c r="C1930" s="748">
        <f>'Part VII-Pro Forma'!C42</f>
        <v>409732.20486245712</v>
      </c>
      <c r="D1930" s="748">
        <f>'Part VII-Pro Forma'!D42</f>
        <v>362879.13160235697</v>
      </c>
      <c r="E1930" s="748">
        <f>'Part VII-Pro Forma'!E42</f>
        <v>314841.21641458379</v>
      </c>
      <c r="F1930" s="748">
        <f>'Part VII-Pro Forma'!F42</f>
        <v>265588.49647501769</v>
      </c>
      <c r="G1930" s="748">
        <f>'Part VII-Pro Forma'!G42</f>
        <v>215090.25124594982</v>
      </c>
      <c r="H1930" s="748">
        <f>'Part VII-Pro Forma'!H42</f>
        <v>163314.98331467505</v>
      </c>
      <c r="I1930" s="748">
        <f>'Part VII-Pro Forma'!I42</f>
        <v>110230.39874752189</v>
      </c>
      <c r="J1930" s="748">
        <f>'Part VII-Pro Forma'!J42</f>
        <v>55803.386947066429</v>
      </c>
      <c r="K1930" s="748">
        <f>'Part VII-Pro Forma'!K42</f>
        <v>-3.3876858651638031E-8</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-0.23950107651478447</v>
      </c>
      <c r="C1934" s="748">
        <f>'Part VII-Pro Forma'!C46</f>
        <v>-0.2493829635872335</v>
      </c>
      <c r="D1934" s="748">
        <f>'Part VII-Pro Forma'!D46</f>
        <v>-0.25967258031807761</v>
      </c>
      <c r="E1934" s="748">
        <f>'Part VII-Pro Forma'!E46</f>
        <v>-0.27038674975671179</v>
      </c>
      <c r="F1934" s="748">
        <f>'Part VII-Pro Forma'!F46</f>
        <v>-0.28154298907665243</v>
      </c>
      <c r="G1934" s="748">
        <f>'Part VII-Pro Forma'!G46</f>
        <v>-0.29315953821530932</v>
      </c>
      <c r="H1934" s="748">
        <f>'Part VII-Pro Forma'!H46</f>
        <v>-0.30525538969544308</v>
      </c>
      <c r="I1934" s="748">
        <f>'Part VII-Pro Forma'!I46</f>
        <v>-0.31785031967706501</v>
      </c>
      <c r="J1934" s="748">
        <f>'Part VII-Pro Forma'!J46</f>
        <v>-0.33096492029054775</v>
      </c>
      <c r="K1934" s="748">
        <f>'Part VII-Pro Forma'!K46</f>
        <v>-0.3446206333038101</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-11079.075702744405</v>
      </c>
      <c r="C1953" s="748">
        <f>'Part VII-Pro Forma'!C65</f>
        <v>-11193.190182482673</v>
      </c>
      <c r="D1953" s="748">
        <f>'Part VII-Pro Forma'!D65</f>
        <v>-11308.480041362245</v>
      </c>
      <c r="E1953" s="748">
        <f>'Part VII-Pro Forma'!E65</f>
        <v>-11424.957385788277</v>
      </c>
      <c r="F1953" s="748">
        <f>'Part VII-Pro Forma'!F65</f>
        <v>-11542.634446861895</v>
      </c>
      <c r="G1953" s="748">
        <f>'Part VII-Pro Forma'!G65</f>
        <v>-11661.523581664573</v>
      </c>
      <c r="H1953" s="748">
        <f>'Part VII-Pro Forma'!H65</f>
        <v>-11781.637274555718</v>
      </c>
      <c r="I1953" s="748">
        <f>'Part VII-Pro Forma'!I65</f>
        <v>-11902.988138483643</v>
      </c>
      <c r="J1953" s="748">
        <f>'Part VII-Pro Forma'!J65</f>
        <v>-12025.588916310024</v>
      </c>
      <c r="K1953" s="748">
        <f>'Part VII-Pro Forma'!K65</f>
        <v>-12149.452482148017</v>
      </c>
    </row>
    <row r="1954" spans="1:11">
      <c r="A1954" s="748" t="s">
        <v>1864</v>
      </c>
      <c r="B1954" s="748">
        <f>'Part VII-Pro Forma'!B66</f>
        <v>0</v>
      </c>
      <c r="C1954" s="748">
        <f>'Part VII-Pro Forma'!C66</f>
        <v>0.3588397851786197</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-43344.276784778747</v>
      </c>
      <c r="C1955" s="748">
        <f>'Part VII-Pro Forma'!C67</f>
        <v>-40964.245877676003</v>
      </c>
      <c r="D1955" s="748">
        <f>'Part VII-Pro Forma'!D67</f>
        <v>-38437.158921439062</v>
      </c>
      <c r="E1955" s="748">
        <f>'Part VII-Pro Forma'!E67</f>
        <v>-35757.348582156468</v>
      </c>
      <c r="F1955" s="748">
        <f>'Part VII-Pro Forma'!F67</f>
        <v>-32918.594760596054</v>
      </c>
      <c r="G1955" s="748">
        <f>'Part VII-Pro Forma'!G67</f>
        <v>-29914.753162722791</v>
      </c>
      <c r="H1955" s="748">
        <f>'Part VII-Pro Forma'!H67</f>
        <v>-26738.661222486589</v>
      </c>
      <c r="I1955" s="748">
        <f>'Part VII-Pro Forma'!I67</f>
        <v>-23385.330872907783</v>
      </c>
      <c r="J1955" s="748">
        <f>'Part VII-Pro Forma'!J67</f>
        <v>-19845.541086662997</v>
      </c>
      <c r="K1955" s="748">
        <f>'Part VII-Pro Forma'!K67</f>
        <v>-16113.030178979616</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-3.4733552134378986E-8</v>
      </c>
      <c r="C1965" s="748">
        <f>'Part VII-Pro Forma'!C77</f>
        <v>-3.5611910073406098E-8</v>
      </c>
      <c r="D1965" s="748">
        <f>'Part VII-Pro Forma'!D77</f>
        <v>-3.6512480329390232E-8</v>
      </c>
      <c r="E1965" s="748">
        <f>'Part VII-Pro Forma'!E77</f>
        <v>-3.7435824617553248E-8</v>
      </c>
      <c r="F1965" s="748">
        <f>'Part VII-Pro Forma'!F77</f>
        <v>-3.8382518858028241E-8</v>
      </c>
      <c r="G1965" s="748">
        <f>'Part VII-Pro Forma'!G77</f>
        <v>-3.9353153535079819E-8</v>
      </c>
      <c r="H1965" s="748">
        <f>'Part VII-Pro Forma'!H77</f>
        <v>-4.0348334065408505E-8</v>
      </c>
      <c r="I1965" s="748">
        <f>'Part VII-Pro Forma'!I77</f>
        <v>-4.1368681175769017E-8</v>
      </c>
      <c r="J1965" s="748">
        <f>'Part VII-Pro Forma'!J77</f>
        <v>-4.2414831290137903E-8</v>
      </c>
      <c r="K1965" s="748">
        <f>'Part VII-Pro Forma'!K77</f>
        <v>-4.3487436926672068E-8</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-0.3588397851786197</v>
      </c>
      <c r="C1969" s="748">
        <f>'Part VII-Pro Forma'!C81</f>
        <v>-8.0693669138226509E-3</v>
      </c>
      <c r="D1969" s="748">
        <f>'Part VII-Pro Forma'!D81</f>
        <v>-8.402311440623679E-3</v>
      </c>
      <c r="E1969" s="748">
        <f>'Part VII-Pro Forma'!E81</f>
        <v>-8.7489933596031286E-3</v>
      </c>
      <c r="F1969" s="748">
        <f>'Part VII-Pro Forma'!F81</f>
        <v>-9.1099794797296803E-3</v>
      </c>
      <c r="G1969" s="748">
        <f>'Part VII-Pro Forma'!G81</f>
        <v>-9.4858599966820088E-3</v>
      </c>
      <c r="H1969" s="748">
        <f>'Part VII-Pro Forma'!H81</f>
        <v>-9.8772494577915367E-3</v>
      </c>
      <c r="I1969" s="748">
        <f>'Part VII-Pro Forma'!I81</f>
        <v>-1.0284787766799008E-2</v>
      </c>
      <c r="J1969" s="748">
        <f>'Part VII-Pro Forma'!J81</f>
        <v>-1.0709141230067633E-2</v>
      </c>
      <c r="K1969" s="748">
        <f>'Part VII-Pro Forma'!K81</f>
        <v>-1.1151003645963302E-2</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-4.4587167104705764E-8</v>
      </c>
      <c r="C2000" s="748">
        <f>'Part VII-Pro Forma'!C112</f>
        <v>-4.5714707762039893E-8</v>
      </c>
      <c r="D2000" s="748">
        <f>'Part VII-Pro Forma'!D112</f>
        <v>-4.6870762182783927E-8</v>
      </c>
      <c r="E2000" s="748">
        <f>'Part VII-Pro Forma'!E112</f>
        <v>-4.8056051436017287E-8</v>
      </c>
      <c r="F2000" s="748">
        <f>'Part VII-Pro Forma'!F112</f>
        <v>-4.9271314825543793E-8</v>
      </c>
      <c r="G2000" s="748">
        <f>'Part VII-Pro Forma'!G112</f>
        <v>-5.0517310351019712E-8</v>
      </c>
      <c r="H2000" s="748">
        <f>'Part VII-Pro Forma'!H112</f>
        <v>-5.1794815180742999E-8</v>
      </c>
      <c r="I2000" s="748">
        <f>'Part VII-Pro Forma'!I112</f>
        <v>-5.3104626136398693E-8</v>
      </c>
      <c r="J2000" s="748">
        <f>'Part VII-Pro Forma'!J112</f>
        <v>-5.4447560190062723E-8</v>
      </c>
      <c r="K2000" s="748">
        <f>'Part VII-Pro Forma'!K112</f>
        <v>-5.5824454973774232E-8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-1.1611097439182951E-2</v>
      </c>
      <c r="C2004" s="748">
        <f>'Part VII-Pro Forma'!C116</f>
        <v>-1.2090174841885669E-2</v>
      </c>
      <c r="D2004" s="748">
        <f>'Part VII-Pro Forma'!D116</f>
        <v>-1.2589019123557628E-2</v>
      </c>
      <c r="E2004" s="748">
        <f>'Part VII-Pro Forma'!E116</f>
        <v>-1.310844587162161E-2</v>
      </c>
      <c r="F2004" s="748">
        <f>'Part VII-Pro Forma'!F116</f>
        <v>-1.3649304324884884E-2</v>
      </c>
      <c r="G2004" s="748">
        <f>'Part VII-Pro Forma'!G116</f>
        <v>-1.4212478762005529E-2</v>
      </c>
      <c r="H2004" s="748">
        <f>'Part VII-Pro Forma'!H116</f>
        <v>-1.4798889947247314E-2</v>
      </c>
      <c r="I2004" s="748">
        <f>'Part VII-Pro Forma'!I116</f>
        <v>-1.5409496635886859E-2</v>
      </c>
      <c r="J2004" s="748">
        <f>'Part VII-Pro Forma'!J116</f>
        <v>-1.6045297141734343E-2</v>
      </c>
      <c r="K2004" s="748">
        <f>'Part VII-Pro Forma'!K116</f>
        <v>-1.6707330969330605E-2</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0</v>
      </c>
      <c r="C2023" s="748">
        <f>'Part VII-Pro Forma'!C135</f>
        <v>0</v>
      </c>
      <c r="D2023" s="748">
        <f>'Part VII-Pro Forma'!D135</f>
        <v>0</v>
      </c>
      <c r="E2023" s="748">
        <f>'Part VII-Pro Forma'!E135</f>
        <v>0</v>
      </c>
      <c r="F2023" s="748">
        <f>'Part VII-Pro Forma'!F135</f>
        <v>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-5.7236169301994147E-8</v>
      </c>
      <c r="C2035" s="748">
        <f>'Part VII-Pro Forma'!C147</f>
        <v>-5.8683583707275946E-8</v>
      </c>
      <c r="D2035" s="748">
        <f>'Part VII-Pro Forma'!D147</f>
        <v>-6.0167600989482705E-8</v>
      </c>
      <c r="E2035" s="748">
        <f>'Part VII-Pro Forma'!E147</f>
        <v>-6.1689146778893015E-8</v>
      </c>
      <c r="F2035" s="748">
        <f>'Part VII-Pro Forma'!F147</f>
        <v>-6.3249170113546931E-8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-1.7396680513489183E-2</v>
      </c>
      <c r="C2039" s="748">
        <f>'Part VII-Pro Forma'!C151</f>
        <v>-1.8114472828961978E-2</v>
      </c>
      <c r="D2039" s="748">
        <f>'Part VII-Pro Forma'!D151</f>
        <v>-1.8861881473121865E-2</v>
      </c>
      <c r="E2039" s="748">
        <f>'Part VII-Pro Forma'!E151</f>
        <v>-1.964012842467493E-2</v>
      </c>
      <c r="F2039" s="748">
        <f>'Part VII-Pro Forma'!F151</f>
        <v>-2.045048608153938E-2</v>
      </c>
    </row>
    <row r="2041" spans="1:7">
      <c r="A2041" s="748" t="s">
        <v>878</v>
      </c>
      <c r="G2041" s="748" t="s">
        <v>1654</v>
      </c>
    </row>
    <row r="2043" spans="1:7">
      <c r="A2043" s="748" t="str">
        <f>'Part VII-Pro Forma'!A155</f>
        <v>The terms of the Deferred Developer Fee are in the Development Services Agreement between Integral Development, LLC and 3644 Memorial Senior, LP. A copy of the agreement is included in Tab 5.</v>
      </c>
      <c r="G2043" s="748">
        <f>'Part VII-Pro Forma'!G155</f>
        <v>0</v>
      </c>
    </row>
    <row r="2044" spans="1:7">
      <c r="A2044" s="748" t="str">
        <f>'Part VII-Pro Forma'!A156</f>
        <v>The Asset Management Fee includes a $10,000 Administrative Expense Reimbursement to RBC Capital per the terms of the LOI included in Tab 5.  It also includes an Incentive Management Fee of 80% of available cash flow to the GP is shown.</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2011-012 Veteran Senior Housing - Assisted Living,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1077</v>
      </c>
      <c r="O2079" s="748" t="s">
        <v>923</v>
      </c>
      <c r="P2079" s="748" t="str">
        <f>'Part VIII-Threshold Criteria'!P31</f>
        <v>No</v>
      </c>
      <c r="Q2079" s="748">
        <f>'Part VIII-Threshold Criteria'!Q31</f>
        <v>0</v>
      </c>
    </row>
    <row r="2080" spans="1:17">
      <c r="B2080" s="748" t="s">
        <v>3063</v>
      </c>
      <c r="C2080" s="748" t="s">
        <v>1078</v>
      </c>
      <c r="J2080" s="748" t="str">
        <f>'Part VIII-Threshold Criteria'!J32</f>
        <v>&lt;&lt; Select &gt;&gt;</v>
      </c>
    </row>
    <row r="2081" spans="1:17">
      <c r="B2081" s="748" t="s">
        <v>2921</v>
      </c>
    </row>
    <row r="2082" spans="1:17">
      <c r="A2082" s="748" t="str">
        <f>'Part VIII-Threshold Criteria'!A34</f>
        <v xml:space="preserve">A Commitment letter for DeKalb Home funds is included in Tab 5 </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2923</v>
      </c>
      <c r="P2093" s="748">
        <f>'Part VIII-Threshold Criteria'!P45</f>
        <v>0</v>
      </c>
    </row>
    <row r="2095" spans="1:17">
      <c r="C2095" s="748" t="s">
        <v>113</v>
      </c>
      <c r="J2095" s="748" t="str">
        <f>'Part VIII-Threshold Criteria'!J47</f>
        <v>Senior (Elderly)</v>
      </c>
      <c r="P2095" s="748">
        <f>'Part VIII-Threshold Criteria'!P47</f>
        <v>0</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681</v>
      </c>
      <c r="O2099" s="748" t="s">
        <v>2923</v>
      </c>
      <c r="P2099" s="748">
        <f>'Part VIII-Threshold Criteria'!P51</f>
        <v>0</v>
      </c>
    </row>
    <row r="2101" spans="1:17">
      <c r="B2101" s="748" t="s">
        <v>3060</v>
      </c>
      <c r="C2101" s="748" t="s">
        <v>4098</v>
      </c>
      <c r="P2101" s="748" t="str">
        <f>'Part VIII-Threshold Criteria'!P53</f>
        <v>Agree</v>
      </c>
      <c r="Q2101" s="748">
        <f>'Part VIII-Threshold Criteria'!Q53</f>
        <v>0</v>
      </c>
    </row>
    <row r="2102" spans="1:17">
      <c r="B2102" s="748" t="s">
        <v>3063</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2921</v>
      </c>
    </row>
    <row r="2107" spans="1:17">
      <c r="A2107" s="748" t="str">
        <f>'Part VIII-Threshold Criteria'!A59</f>
        <v>A complete list of services both optional and provided is outlined in Tab 21</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RealPropertyResearchGroup</v>
      </c>
      <c r="Q2115" s="748">
        <f>'Part VIII-Threshold Criteria'!Q67</f>
        <v>0</v>
      </c>
    </row>
    <row r="2116" spans="1:17">
      <c r="B2116" s="748" t="s">
        <v>3063</v>
      </c>
      <c r="C2116" s="748" t="s">
        <v>3118</v>
      </c>
      <c r="L2116" s="748" t="s">
        <v>3063</v>
      </c>
      <c r="M2116" s="748" t="str">
        <f>'Part VIII-Threshold Criteria'!M68</f>
        <v xml:space="preserve">6 months to 93% </v>
      </c>
      <c r="Q2116" s="748">
        <f>'Part VIII-Threshold Criteria'!Q68</f>
        <v>0</v>
      </c>
    </row>
    <row r="2117" spans="1:17">
      <c r="B2117" s="748" t="s">
        <v>1238</v>
      </c>
      <c r="C2117" s="748" t="s">
        <v>3731</v>
      </c>
      <c r="L2117" s="748" t="s">
        <v>1238</v>
      </c>
      <c r="M2117" s="748" t="str">
        <f>'Part VIII-Threshold Criteria'!M69</f>
        <v>50% AMI 3 Months 60% AMI 6 Months</v>
      </c>
      <c r="Q2117" s="748">
        <f>'Part VIII-Threshold Criteria'!Q69</f>
        <v>0</v>
      </c>
    </row>
    <row r="2118" spans="1:17">
      <c r="B2118" s="748" t="s">
        <v>3212</v>
      </c>
      <c r="C2118" s="748" t="s">
        <v>3732</v>
      </c>
      <c r="L2118" s="748" t="s">
        <v>3212</v>
      </c>
      <c r="M2118" s="748" t="str">
        <f>'Part VIII-Threshold Criteria'!M70</f>
        <v>50% AMI 4.6% 60% AMI 22.9% Overall 16.2</v>
      </c>
      <c r="Q2118" s="748">
        <f>'Part VIII-Threshold Criteria'!Q70</f>
        <v>0</v>
      </c>
    </row>
    <row r="2119" spans="1:17">
      <c r="B2119" s="748" t="s">
        <v>2762</v>
      </c>
      <c r="C2119" s="748" t="s">
        <v>3556</v>
      </c>
      <c r="O2119" s="748" t="s">
        <v>2762</v>
      </c>
      <c r="P2119" s="748" t="str">
        <f>'Part VIII-Threshold Criteria'!P71</f>
        <v>No</v>
      </c>
      <c r="Q2119" s="748">
        <f>'Part VIII-Threshold Criteria'!Q71</f>
        <v>0</v>
      </c>
    </row>
    <row r="2120" spans="1:17">
      <c r="D2120" s="748" t="s">
        <v>3593</v>
      </c>
      <c r="E2120" s="748" t="s">
        <v>951</v>
      </c>
      <c r="H2120" s="748" t="s">
        <v>3593</v>
      </c>
      <c r="I2120" s="748" t="s">
        <v>951</v>
      </c>
      <c r="L2120" s="748" t="s">
        <v>3593</v>
      </c>
      <c r="M2120" s="748" t="s">
        <v>951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f>'Part VIII-Threshold Criteria'!P76</f>
        <v>0</v>
      </c>
      <c r="Q2124" s="748">
        <f>'Part VIII-Threshold Criteria'!Q76</f>
        <v>0</v>
      </c>
    </row>
    <row r="2125" spans="1:17">
      <c r="B2125" s="748" t="s">
        <v>2921</v>
      </c>
    </row>
    <row r="2126" spans="1:17">
      <c r="A2126" s="748">
        <f>'Part VIII-Threshold Criteria'!A78</f>
        <v>0</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729</v>
      </c>
      <c r="O2133" s="748" t="s">
        <v>3060</v>
      </c>
      <c r="P2133" s="748" t="str">
        <f>'Part VIII-Threshold Criteria'!P85</f>
        <v>No</v>
      </c>
      <c r="Q2133" s="748">
        <f>'Part VIII-Threshold Criteria'!Q85</f>
        <v>0</v>
      </c>
    </row>
    <row r="2134" spans="1:17">
      <c r="B2134" s="748" t="s">
        <v>3063</v>
      </c>
      <c r="C2134" s="748" t="s">
        <v>2005</v>
      </c>
      <c r="O2134" s="748" t="s">
        <v>3063</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t="str">
        <f>'Part VIII-Threshold Criteria'!P91</f>
        <v>No</v>
      </c>
      <c r="Q2139" s="748">
        <f>'Part VIII-Threshold Criteria'!Q91</f>
        <v>0</v>
      </c>
    </row>
    <row r="2140" spans="1:17">
      <c r="B2140" s="748" t="s">
        <v>3212</v>
      </c>
      <c r="C2140" s="748" t="s">
        <v>2148</v>
      </c>
    </row>
    <row r="2141" spans="1:17">
      <c r="C2141" s="748" t="s">
        <v>2764</v>
      </c>
      <c r="D2141" s="748" t="s">
        <v>2149</v>
      </c>
      <c r="O2141" s="748" t="s">
        <v>2764</v>
      </c>
      <c r="P2141" s="748" t="str">
        <f>'Part VIII-Threshold Criteria'!P93</f>
        <v>No</v>
      </c>
      <c r="Q2141" s="748">
        <f>'Part VIII-Threshold Criteria'!Q93</f>
        <v>0</v>
      </c>
    </row>
    <row r="2142" spans="1:17">
      <c r="C2142" s="748" t="s">
        <v>2765</v>
      </c>
      <c r="D2142" s="748" t="s">
        <v>2150</v>
      </c>
      <c r="O2142" s="748" t="s">
        <v>2765</v>
      </c>
      <c r="P2142" s="748" t="str">
        <f>'Part VIII-Threshold Criteria'!P94</f>
        <v>No</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2921</v>
      </c>
    </row>
    <row r="2145" spans="1:17">
      <c r="A2145" s="748" t="str">
        <f>'Part VIII-Threshold Criteria'!A97</f>
        <v>There is no identify of interest between 3644 Memorial Senior LP and the Seller Avondale Partners.  The Purchase Agreement is included in Tab 12.</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Prater &amp; York, LLC</v>
      </c>
      <c r="Q2153" s="748">
        <f>'Part VIII-Threshold Criteria'!Q105</f>
        <v>0</v>
      </c>
    </row>
    <row r="2154" spans="1:17">
      <c r="B2154" s="748" t="s">
        <v>3063</v>
      </c>
      <c r="C2154" s="748" t="s">
        <v>2291</v>
      </c>
      <c r="O2154" s="748" t="s">
        <v>3063</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f>'Part VIII-Threshold Criteria'!P108</f>
        <v>65</v>
      </c>
      <c r="Q2156" s="748">
        <f>'Part VIII-Threshold Criteria'!Q108</f>
        <v>0</v>
      </c>
    </row>
    <row r="2157" spans="1:17">
      <c r="C2157" s="748" t="s">
        <v>2089</v>
      </c>
    </row>
    <row r="2158" spans="1:17">
      <c r="C2158" s="748" t="str">
        <f>'Part VIII-Threshold Criteria'!C110</f>
        <v>Memorial Drive</v>
      </c>
    </row>
    <row r="2159" spans="1:17">
      <c r="B2159" s="748" t="s">
        <v>3212</v>
      </c>
      <c r="C2159" s="748" t="s">
        <v>1944</v>
      </c>
      <c r="O2159" s="748" t="s">
        <v>3212</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3245</v>
      </c>
      <c r="P2167" s="748">
        <f>'Part VIII-Threshold Criteria'!P119</f>
        <v>0</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726</v>
      </c>
      <c r="O2169" s="748" t="s">
        <v>3571</v>
      </c>
      <c r="P2169" s="748" t="str">
        <f>'Part VIII-Threshold Criteria'!P121</f>
        <v>No</v>
      </c>
      <c r="Q2169" s="748">
        <f>'Part VIII-Threshold Criteria'!Q121</f>
        <v>0</v>
      </c>
    </row>
    <row r="2170" spans="2:17">
      <c r="B2170" s="748" t="s">
        <v>2762</v>
      </c>
      <c r="C2170" s="748" t="s">
        <v>3658</v>
      </c>
      <c r="O2170" s="748" t="s">
        <v>2762</v>
      </c>
      <c r="P2170" s="748">
        <f>'Part VIII-Threshold Criteria'!P122</f>
        <v>0</v>
      </c>
      <c r="Q2170" s="748">
        <f>'Part VIII-Threshold Criteria'!Q122</f>
        <v>0</v>
      </c>
    </row>
    <row r="2171" spans="2:17">
      <c r="C2171" s="748" t="s">
        <v>2764</v>
      </c>
      <c r="D2171" s="748" t="s">
        <v>3659</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3621</v>
      </c>
      <c r="N2171" s="748" t="str">
        <f>'Part VIII-Threshold Criteria'!N123</f>
        <v>No</v>
      </c>
      <c r="O2171" s="748">
        <f>'Part VIII-Threshold Criteria'!O123</f>
        <v>0</v>
      </c>
    </row>
    <row r="2172" spans="2:17">
      <c r="C2172" s="748" t="s">
        <v>2765</v>
      </c>
      <c r="D2172" s="748" t="s">
        <v>3775</v>
      </c>
      <c r="F2172" s="748" t="str">
        <f>'Part VIII-Threshold Criteria'!F124</f>
        <v>No</v>
      </c>
      <c r="G2172" s="748">
        <f>'Part VIII-Threshold Criteria'!G124</f>
        <v>0</v>
      </c>
      <c r="H2172" s="748" t="s">
        <v>3571</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No</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3020</v>
      </c>
      <c r="C2178" s="748" t="s">
        <v>2781</v>
      </c>
      <c r="O2178" s="748" t="s">
        <v>3020</v>
      </c>
      <c r="P2178" s="748" t="str">
        <f>'Part VIII-Threshold Criteria'!P130</f>
        <v>N/A</v>
      </c>
      <c r="Q2178" s="748">
        <f>'Part VIII-Threshold Criteria'!Q130</f>
        <v>0</v>
      </c>
    </row>
    <row r="2180" spans="1:17">
      <c r="B2180" s="748" t="s">
        <v>2921</v>
      </c>
    </row>
    <row r="2181" spans="1:17">
      <c r="A2181" s="748" t="str">
        <f>'Part VIII-Threshold Criteria'!A133</f>
        <v xml:space="preserve">A Noise Survey for the subject property was conducted by Harry Walls Consulting. According to Harry Walls Consulting, it was concluded that the exterior use areas and the interior residential </v>
      </c>
    </row>
    <row r="2182" spans="1:17">
      <c r="A2182" s="748" t="str">
        <f>'Part VIII-Threshold Criteria'!A134</f>
        <v xml:space="preserve">areas, as planned, meet HUD/DCA regulations provided the developer uses the exterior wall materials as planned. Additional details are included in the Noise Survey Report included in </v>
      </c>
    </row>
    <row r="2183" spans="1:17">
      <c r="A2183" s="748" t="str">
        <f>'Part VIII-Threshold Criteria'!A135</f>
        <v>Appendix J.</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3644 Memorial Senior LP</v>
      </c>
      <c r="P2192" s="748" t="str">
        <f>'Part VIII-Threshold Criteria'!P144</f>
        <v>Yes</v>
      </c>
      <c r="Q2192" s="748">
        <f>'Part VIII-Threshold Criteria'!Q144</f>
        <v>0</v>
      </c>
    </row>
    <row r="2193" spans="1:17">
      <c r="B2193" s="748" t="s">
        <v>2921</v>
      </c>
    </row>
    <row r="2194" spans="1:17">
      <c r="A2194" s="748" t="str">
        <f>'Part VIII-Threshold Criteria'!A146</f>
        <v>The Purchase Agreement is included in Tab 12</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682</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The site is accessible from Memorial Drive as evidenced by the survey and site map located in Tab 13.</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696</v>
      </c>
      <c r="O2211" s="748" t="s">
        <v>3060</v>
      </c>
      <c r="P2211" s="748" t="str">
        <f>'Part VIII-Threshold Criteria'!P163</f>
        <v>Yes</v>
      </c>
      <c r="Q2211" s="748">
        <f>'Part VIII-Threshold Criteria'!Q163</f>
        <v>0</v>
      </c>
    </row>
    <row r="2212" spans="1:17">
      <c r="B2212" s="748" t="s">
        <v>3063</v>
      </c>
      <c r="C2212" s="748" t="s">
        <v>721</v>
      </c>
      <c r="O2212" s="748" t="s">
        <v>3063</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3212</v>
      </c>
      <c r="C2214" s="748" t="s">
        <v>929</v>
      </c>
      <c r="O2214" s="748" t="s">
        <v>3212</v>
      </c>
      <c r="P2214" s="748" t="str">
        <f>'Part VIII-Threshold Criteria'!P166</f>
        <v>Yes</v>
      </c>
      <c r="Q2214" s="748">
        <f>'Part VIII-Threshold Criteria'!Q166</f>
        <v>0</v>
      </c>
    </row>
    <row r="2215" spans="1:17">
      <c r="B2215" s="748" t="s">
        <v>2762</v>
      </c>
      <c r="C2215" s="748" t="s">
        <v>3594</v>
      </c>
      <c r="O2215" s="748" t="s">
        <v>2762</v>
      </c>
      <c r="P2215" s="748" t="str">
        <f>'Part VIII-Threshold Criteria'!P167</f>
        <v>Yes</v>
      </c>
      <c r="Q2215" s="748">
        <f>'Part VIII-Threshold Criteria'!Q167</f>
        <v>0</v>
      </c>
    </row>
    <row r="2216" spans="1:17">
      <c r="B2216" s="748" t="s">
        <v>2921</v>
      </c>
    </row>
    <row r="2217" spans="1:17">
      <c r="A2217" s="748" t="str">
        <f>'Part VIII-Threshold Criteria'!A169</f>
        <v xml:space="preserve">The Veteran Senior Housing - Assisted Living meets OCR zoning requirements with the approved Special Land Use Permit (SLUP)  for DeKalb County.  </v>
      </c>
    </row>
    <row r="2218" spans="1:17">
      <c r="A2218" s="748" t="str">
        <f>'Part VIII-Threshold Criteria'!A170</f>
        <v>A Variance was approved which allows 25 parking spaces for the proposed Veteran Senior Housing - Assisted Living Development</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2764</v>
      </c>
      <c r="I2224" s="748" t="s">
        <v>206</v>
      </c>
      <c r="J2224" s="748" t="str">
        <f>'Part VIII-Threshold Criteria'!J176</f>
        <v>&lt;&lt;Enter Provider Name Here&gt;&gt;</v>
      </c>
      <c r="O2224" s="748" t="s">
        <v>2764</v>
      </c>
      <c r="P2224" s="748" t="str">
        <f>'Part VIII-Threshold Criteria'!P176</f>
        <v>No</v>
      </c>
      <c r="Q2224" s="748">
        <f>'Part VIII-Threshold Criteria'!Q176</f>
        <v>0</v>
      </c>
    </row>
    <row r="2225" spans="1:17">
      <c r="H2225" s="748" t="s">
        <v>2765</v>
      </c>
      <c r="I2225" s="748" t="s">
        <v>2357</v>
      </c>
      <c r="J2225" s="748" t="str">
        <f>'Part VIII-Threshold Criteria'!J177</f>
        <v>Georgia Power</v>
      </c>
      <c r="O2225" s="748" t="s">
        <v>2765</v>
      </c>
      <c r="P2225" s="748" t="str">
        <f>'Part VIII-Threshold Criteria'!P177</f>
        <v>Yes</v>
      </c>
      <c r="Q2225" s="748">
        <f>'Part VIII-Threshold Criteria'!Q177</f>
        <v>0</v>
      </c>
    </row>
    <row r="2226" spans="1:17">
      <c r="B2226" s="748" t="s">
        <v>2921</v>
      </c>
    </row>
    <row r="2227" spans="1:17">
      <c r="A2227" s="748" t="str">
        <f>'Part VIII-Threshold Criteria'!A179</f>
        <v>The utility availibility letters are included in Tab 15.</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3063</v>
      </c>
      <c r="C2235" s="748" t="s">
        <v>2903</v>
      </c>
      <c r="H2235" s="748" t="s">
        <v>2764</v>
      </c>
      <c r="I2235" s="748" t="s">
        <v>971</v>
      </c>
      <c r="J2235" s="748" t="str">
        <f>'Part VIII-Threshold Criteria'!J187</f>
        <v>DeKalb County Water Shed Authority</v>
      </c>
      <c r="O2235" s="748" t="s">
        <v>2170</v>
      </c>
      <c r="P2235" s="748" t="str">
        <f>'Part VIII-Threshold Criteria'!P187</f>
        <v>Yes</v>
      </c>
      <c r="Q2235" s="748">
        <f>'Part VIII-Threshold Criteria'!Q187</f>
        <v>0</v>
      </c>
    </row>
    <row r="2236" spans="1:17">
      <c r="H2236" s="748" t="s">
        <v>2765</v>
      </c>
      <c r="I2236" s="748" t="s">
        <v>131</v>
      </c>
      <c r="J2236" s="748" t="str">
        <f>'Part VIII-Threshold Criteria'!J188</f>
        <v>DeKalb County Water Shed Authority</v>
      </c>
      <c r="O2236" s="748" t="s">
        <v>2765</v>
      </c>
      <c r="P2236" s="748" t="str">
        <f>'Part VIII-Threshold Criteria'!P188</f>
        <v>Yes</v>
      </c>
      <c r="Q2236" s="748">
        <f>'Part VIII-Threshold Criteria'!Q188</f>
        <v>0</v>
      </c>
    </row>
    <row r="2237" spans="1:17">
      <c r="B2237" s="748" t="s">
        <v>2921</v>
      </c>
    </row>
    <row r="2238" spans="1:17">
      <c r="A2238" s="748" t="str">
        <f>'Part VIII-Threshold Criteria'!A190</f>
        <v>The utility availibility letters are included in Tab 15.</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t="str">
        <f>'Part VIII-Threshold Criteria'!A201</f>
        <v>The applicant has received support from the DeKalb County Planning Department, the Community Council, and the Chief Executive Officer for DeKalb County.  Letters of support and the DeKalb County Resolution are included in  Tab 16.</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680</v>
      </c>
      <c r="O2256" s="748" t="s">
        <v>2923</v>
      </c>
      <c r="P2256" s="748">
        <f>'Part VIII-Threshold Criteria'!P208</f>
        <v>0</v>
      </c>
    </row>
    <row r="2257" spans="2:17">
      <c r="B2257" s="748" t="s">
        <v>1838</v>
      </c>
      <c r="P2257" s="748">
        <f>'Part VIII-Threshold Criteria'!P209</f>
        <v>0</v>
      </c>
      <c r="Q2257" s="748">
        <f>'Part VIII-Threshold Criteria'!Q209</f>
        <v>0</v>
      </c>
    </row>
    <row r="2258" spans="2:17">
      <c r="B2258" s="748" t="s">
        <v>3060</v>
      </c>
      <c r="C2258" s="748" t="s">
        <v>2086</v>
      </c>
    </row>
    <row r="2259" spans="2:17">
      <c r="C2259" s="748" t="s">
        <v>2764</v>
      </c>
      <c r="D2259" s="748" t="s">
        <v>3003</v>
      </c>
      <c r="L2259" s="748" t="s">
        <v>2230</v>
      </c>
      <c r="M2259" s="748" t="str">
        <f>'Part VIII-Threshold Criteria'!M211</f>
        <v>Room</v>
      </c>
      <c r="P2259" s="748" t="str">
        <f>'Part VIII-Threshold Criteria'!P211</f>
        <v>Agree</v>
      </c>
      <c r="Q2259" s="748">
        <f>'Part VIII-Threshold Criteria'!Q211</f>
        <v>0</v>
      </c>
    </row>
    <row r="2260" spans="2:17">
      <c r="C2260" s="748" t="s">
        <v>2765</v>
      </c>
      <c r="D2260" s="748" t="s">
        <v>198</v>
      </c>
      <c r="L2260" s="748" t="s">
        <v>2231</v>
      </c>
      <c r="M2260" s="748" t="str">
        <f>'Part VIII-Threshold Criteria'!M212</f>
        <v>Gazebo</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4099</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Wellness Center</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Furnished Arts &amp; Craft /Activity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No</v>
      </c>
      <c r="Q2275" s="748">
        <f>'Part VIII-Threshold Criteria'!Q227</f>
        <v>0</v>
      </c>
    </row>
    <row r="2277" spans="1:17">
      <c r="B2277" s="748" t="s">
        <v>3212</v>
      </c>
      <c r="C2277" s="748" t="s">
        <v>2344</v>
      </c>
      <c r="O2277" s="748" t="s">
        <v>3212</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3581</v>
      </c>
      <c r="P2280" s="748" t="str">
        <f>'Part VIII-Threshold Criteria'!P232</f>
        <v>Yes</v>
      </c>
      <c r="Q2280" s="748">
        <f>'Part VIII-Threshold Criteria'!Q232</f>
        <v>0</v>
      </c>
    </row>
    <row r="2281" spans="1:17">
      <c r="D2281" s="748" t="s">
        <v>1984</v>
      </c>
      <c r="O2281" s="748" t="s">
        <v>3582</v>
      </c>
      <c r="P2281" s="748">
        <f>'Part VIII-Threshold Criteria'!P233</f>
        <v>0</v>
      </c>
      <c r="Q2281" s="748">
        <f>'Part VIII-Threshold Criteria'!Q233</f>
        <v>0</v>
      </c>
    </row>
    <row r="2282" spans="1:17">
      <c r="B2282" s="748" t="s">
        <v>2921</v>
      </c>
    </row>
    <row r="2283" spans="1:17">
      <c r="A2283" s="748">
        <f>'Part VIII-Threshold Criteria'!A235</f>
        <v>0</v>
      </c>
    </row>
    <row r="2284" spans="1:17">
      <c r="A2284" s="748">
        <f>'Part VIII-Threshold Criteria'!A236</f>
        <v>0</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1952</v>
      </c>
      <c r="L2291" s="748" t="s">
        <v>3060</v>
      </c>
      <c r="M2291" s="748" t="str">
        <f>'Part VIII-Threshold Criteria'!M243</f>
        <v>&lt;&lt;Select&gt;&gt;</v>
      </c>
      <c r="P2291" s="748" t="str">
        <f>'Part VIII-Threshold Criteria'!P243</f>
        <v>&lt;&lt;Select&gt;&gt;</v>
      </c>
    </row>
    <row r="2292" spans="1:17">
      <c r="B2292" s="748" t="s">
        <v>3063</v>
      </c>
      <c r="C2292" s="748" t="s">
        <v>1921</v>
      </c>
      <c r="L2292" s="748" t="s">
        <v>3063</v>
      </c>
      <c r="M2292" s="748">
        <f>'Part VIII-Threshold Criteria'!M244</f>
        <v>0</v>
      </c>
      <c r="P2292" s="748">
        <f>'Part VIII-Threshold Criteria'!P244</f>
        <v>0</v>
      </c>
    </row>
    <row r="2293" spans="1:17">
      <c r="B2293" s="748" t="s">
        <v>1238</v>
      </c>
      <c r="C2293" s="748" t="s">
        <v>3017</v>
      </c>
      <c r="L2293" s="748" t="s">
        <v>1238</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2762</v>
      </c>
      <c r="C2295" s="748" t="s">
        <v>4100</v>
      </c>
      <c r="O2295" s="748" t="s">
        <v>2762</v>
      </c>
      <c r="P2295" s="748">
        <f>'Part VIII-Threshold Criteria'!P247</f>
        <v>0</v>
      </c>
      <c r="Q2295" s="748">
        <f>'Part VIII-Threshold Criteria'!Q247</f>
        <v>0</v>
      </c>
    </row>
    <row r="2296" spans="1:17">
      <c r="B2296" s="748" t="s">
        <v>2921</v>
      </c>
    </row>
    <row r="2297" spans="1:17">
      <c r="A2297" s="748" t="str">
        <f>'Part VIII-Threshold Criteria'!A249</f>
        <v>N/A</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2113</v>
      </c>
      <c r="O2306" s="748" t="s">
        <v>3063</v>
      </c>
      <c r="P2306" s="748" t="str">
        <f>'Part VIII-Threshold Criteria'!P258</f>
        <v>Yes</v>
      </c>
      <c r="Q2306" s="748">
        <f>'Part VIII-Threshold Criteria'!Q258</f>
        <v>0</v>
      </c>
    </row>
    <row r="2307" spans="1:17">
      <c r="B2307" s="748" t="s">
        <v>2921</v>
      </c>
    </row>
    <row r="2308" spans="1:17">
      <c r="A2308" s="748" t="str">
        <f>'Part VIII-Threshold Criteria'!A260</f>
        <v>The Site Map and photos are included in Tab 18.</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1089</v>
      </c>
      <c r="O2314" s="748" t="s">
        <v>2923</v>
      </c>
      <c r="P2314" s="748">
        <f>'Part VIII-Threshold Criteria'!P266</f>
        <v>0</v>
      </c>
    </row>
    <row r="2316" spans="1:17" ht="24" customHeight="1">
      <c r="B2316" s="748" t="s">
        <v>3060</v>
      </c>
      <c r="C2316" s="748" t="s">
        <v>1207</v>
      </c>
      <c r="O2316" s="748" t="s">
        <v>3060</v>
      </c>
      <c r="P2316" s="748" t="str">
        <f>'Part VIII-Threshold Criteria'!P268</f>
        <v>Agree</v>
      </c>
      <c r="Q2316" s="748">
        <f>'Part VIII-Threshold Criteria'!Q268</f>
        <v>0</v>
      </c>
    </row>
    <row r="2317" spans="1:17" ht="24" customHeight="1">
      <c r="B2317" s="748" t="s">
        <v>3063</v>
      </c>
      <c r="C2317" s="748" t="s">
        <v>1208</v>
      </c>
      <c r="O2317" s="748" t="s">
        <v>3063</v>
      </c>
      <c r="P2317" s="748" t="str">
        <f>'Part VIII-Threshold Criteria'!P269</f>
        <v>Agree</v>
      </c>
      <c r="Q2317" s="748">
        <f>'Part VIII-Threshold Criteria'!Q269</f>
        <v>0</v>
      </c>
    </row>
    <row r="2318" spans="1:17" ht="33" customHeight="1">
      <c r="B2318" s="748" t="s">
        <v>1238</v>
      </c>
      <c r="C2318" s="748" t="s">
        <v>1209</v>
      </c>
      <c r="O2318" s="748" t="s">
        <v>3063</v>
      </c>
      <c r="P2318" s="748">
        <f>'Part VIII-Threshold Criteria'!P270</f>
        <v>0</v>
      </c>
      <c r="Q2318" s="748">
        <f>'Part VIII-Threshold Criteria'!Q270</f>
        <v>0</v>
      </c>
    </row>
    <row r="2319" spans="1:17">
      <c r="B2319" s="748" t="s">
        <v>2921</v>
      </c>
    </row>
    <row r="2320" spans="1:17">
      <c r="A2320" s="748" t="str">
        <f>'Part VIII-Threshold Criteria'!A272</f>
        <v>The project team has experience with multiple projects that have been EarthCraft Multifamily Certified.  A Certificate of Attendance to DCA's Sustainability Workshop is included in Tab 29.</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877</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1081</v>
      </c>
      <c r="O2342" s="748" t="s">
        <v>3060</v>
      </c>
      <c r="P2342" s="748">
        <f>'Part VIII-Threshold Criteria'!P294</f>
        <v>0</v>
      </c>
      <c r="Q2342" s="748">
        <f>'Part VIII-Threshold Criteria'!Q294</f>
        <v>0</v>
      </c>
    </row>
    <row r="2344" spans="1:17">
      <c r="B2344" s="748" t="s">
        <v>3063</v>
      </c>
      <c r="C2344" s="748" t="s">
        <v>674</v>
      </c>
      <c r="O2344" s="748" t="s">
        <v>3063</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4101</v>
      </c>
      <c r="G2346" s="748" t="str">
        <f>'Part VIII-Threshold Criteria'!G298</f>
        <v>Addition of new or redesign of existing durable attractive stair and railing elements</v>
      </c>
      <c r="O2346" s="748" t="s">
        <v>2765</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2766</v>
      </c>
      <c r="D2348" s="748" t="s">
        <v>1767</v>
      </c>
      <c r="G2348" s="748" t="str">
        <f>'Part VIII-Threshold Criteria'!G300</f>
        <v>Fiber cement siding, hard stucco and/or wood siding will be installed on all exterior wall surfaces not already required to be brick</v>
      </c>
      <c r="O2348" s="748" t="s">
        <v>2766</v>
      </c>
      <c r="P2348" s="748" t="str">
        <f>'Part VIII-Threshold Criteria'!P300</f>
        <v>Yes</v>
      </c>
      <c r="Q2348" s="748">
        <f>'Part VIII-Threshold Criteria'!Q300</f>
        <v>0</v>
      </c>
    </row>
    <row r="2349" spans="1:17" ht="13.15" customHeight="1">
      <c r="C2349" s="748" t="s">
        <v>3571</v>
      </c>
      <c r="D2349" s="748" t="s">
        <v>4102</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f>'Part VIII-Threshold Criteria'!A305</f>
        <v>0</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The Applicant was qualified without Condition.  The DCA Determination list is included in Tab 3 and 19</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2923</v>
      </c>
      <c r="P2375" s="748">
        <f>'Part VIII-Threshold Criteria'!P327</f>
        <v>0</v>
      </c>
    </row>
    <row r="2377" spans="1:17">
      <c r="B2377" s="748" t="s">
        <v>3060</v>
      </c>
      <c r="C2377" s="748" t="s">
        <v>2543</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Yes</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3212</v>
      </c>
      <c r="C2380" s="748" t="s">
        <v>1058</v>
      </c>
      <c r="O2380" s="748" t="s">
        <v>3212</v>
      </c>
      <c r="P2380" s="748" t="str">
        <f>'Part VIII-Threshold Criteria'!P332</f>
        <v>Yes</v>
      </c>
      <c r="Q2380" s="748">
        <f>'Part VIII-Threshold Criteria'!Q332</f>
        <v>0</v>
      </c>
    </row>
    <row r="2381" spans="1:17">
      <c r="B2381" s="748" t="s">
        <v>2921</v>
      </c>
    </row>
    <row r="2382" spans="1:17">
      <c r="A2382" s="748" t="str">
        <f>'Part VIII-Threshold Criteria'!A334</f>
        <v>The Compliance for each agent of 3644 Memorial Senior LP is included in Tab 3 and previously submitted in the Performance Workbook on May 12, 2011</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1553</v>
      </c>
      <c r="O2389" s="748" t="s">
        <v>2923</v>
      </c>
      <c r="P2389" s="748">
        <f>'Part VIII-Threshold Criteria'!P341</f>
        <v>0</v>
      </c>
    </row>
    <row r="2390" spans="1:17">
      <c r="B2390" s="748" t="s">
        <v>3060</v>
      </c>
      <c r="C2390" s="748" t="s">
        <v>2083</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2921</v>
      </c>
    </row>
    <row r="2397" spans="1:17">
      <c r="A2397" s="748" t="str">
        <f>'Part VIII-Threshold Criteria'!A349</f>
        <v>N/A</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1657</v>
      </c>
      <c r="J2402" s="748" t="s">
        <v>3060</v>
      </c>
      <c r="K2402" s="748">
        <f>'Part VIII-Threshold Criteria'!K354</f>
        <v>0</v>
      </c>
      <c r="P2402" s="748">
        <f>'Part VIII-Threshold Criteria'!P354</f>
        <v>0</v>
      </c>
      <c r="Q2402" s="748">
        <f>'Part VIII-Threshold Criteria'!Q354</f>
        <v>0</v>
      </c>
    </row>
    <row r="2403" spans="1:17">
      <c r="B2403" s="748" t="s">
        <v>3063</v>
      </c>
      <c r="C2403" s="748" t="s">
        <v>2767</v>
      </c>
      <c r="O2403" s="748" t="s">
        <v>3063</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3020</v>
      </c>
      <c r="C2408" s="748" t="s">
        <v>851</v>
      </c>
      <c r="O2408" s="748" t="s">
        <v>3020</v>
      </c>
      <c r="P2408" s="748">
        <f>'Part VIII-Threshold Criteria'!P360</f>
        <v>0</v>
      </c>
      <c r="Q2408" s="748">
        <f>'Part VIII-Threshold Criteria'!Q360</f>
        <v>0</v>
      </c>
    </row>
    <row r="2409" spans="1:17">
      <c r="B2409" s="748" t="s">
        <v>2921</v>
      </c>
    </row>
    <row r="2410" spans="1:17">
      <c r="A2410" s="748" t="str">
        <f>'Part VIII-Threshold Criteria'!A362</f>
        <v>N/A</v>
      </c>
    </row>
    <row r="2411" spans="1:17">
      <c r="B2411" s="748" t="s">
        <v>2922</v>
      </c>
    </row>
    <row r="2412" spans="1:17">
      <c r="A2412" s="748">
        <f>'Part VIII-Threshold Criteria'!A364</f>
        <v>0</v>
      </c>
    </row>
    <row r="2414" spans="1:17">
      <c r="A2414" s="748">
        <v>23</v>
      </c>
      <c r="B2414" s="748" t="s">
        <v>1082</v>
      </c>
      <c r="O2414" s="748" t="s">
        <v>2923</v>
      </c>
      <c r="P2414" s="748">
        <f>'Part VIII-Threshold Criteria'!P366</f>
        <v>0</v>
      </c>
    </row>
    <row r="2415" spans="1:17">
      <c r="B2415" s="748" t="s">
        <v>3060</v>
      </c>
      <c r="C2415" s="748" t="s">
        <v>4103</v>
      </c>
      <c r="M2415" s="748" t="s">
        <v>3060</v>
      </c>
      <c r="N2415" s="748" t="str">
        <f>'Part VIII-Threshold Criteria'!N367</f>
        <v>Minority concentration</v>
      </c>
      <c r="P2415" s="748" t="str">
        <f>'Part VIII-Threshold Criteria'!P367</f>
        <v>&lt;&lt;Select&gt;&gt;</v>
      </c>
    </row>
    <row r="2416" spans="1:17">
      <c r="B2416" s="748" t="s">
        <v>3063</v>
      </c>
      <c r="C2416" s="748" t="s">
        <v>2</v>
      </c>
      <c r="G2416" s="748" t="s">
        <v>3063</v>
      </c>
      <c r="H2416" s="748" t="str">
        <f>'Part VIII-Threshold Criteria'!H368</f>
        <v>231.07, 230.00, 231.06, 229.00</v>
      </c>
      <c r="P2416" s="748">
        <f>'Part VIII-Threshold Criteria'!P368</f>
        <v>0</v>
      </c>
      <c r="Q2416" s="748">
        <f>'Part VIII-Threshold Criteria'!Q368</f>
        <v>0</v>
      </c>
    </row>
    <row r="2417" spans="1:17">
      <c r="B2417" s="748" t="s">
        <v>1238</v>
      </c>
      <c r="C2417" s="748" t="s">
        <v>2125</v>
      </c>
      <c r="O2417" s="748" t="s">
        <v>1238</v>
      </c>
      <c r="P2417" s="748" t="str">
        <f>'Part VIII-Threshold Criteria'!P369</f>
        <v>No</v>
      </c>
      <c r="Q2417" s="748">
        <f>'Part VIII-Threshold Criteria'!Q369</f>
        <v>0</v>
      </c>
    </row>
    <row r="2418" spans="1:17">
      <c r="B2418" s="748" t="s">
        <v>2921</v>
      </c>
    </row>
    <row r="2419" spans="1:17">
      <c r="A2419" s="748" t="str">
        <f>'Part VIII-Threshold Criteria'!A371</f>
        <v>The applicant's understanding is that the Contract Addendum is only required for projects using DCA HOME funds</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2529</v>
      </c>
      <c r="F2426" s="748" t="s">
        <v>1057</v>
      </c>
      <c r="O2426" s="748" t="s">
        <v>2923</v>
      </c>
      <c r="P2426" s="748">
        <f>'Part VIII-Threshold Criteria'!P378</f>
        <v>0</v>
      </c>
    </row>
    <row r="2427" spans="1:17">
      <c r="B2427" s="748" t="s">
        <v>3060</v>
      </c>
      <c r="C2427" s="748" t="s">
        <v>2126</v>
      </c>
      <c r="O2427" s="748" t="s">
        <v>3060</v>
      </c>
      <c r="P2427" s="748">
        <f>'Part VIII-Threshold Criteria'!P379</f>
        <v>0</v>
      </c>
      <c r="Q2427" s="748">
        <f>'Part VIII-Threshold Criteria'!Q379</f>
        <v>0</v>
      </c>
    </row>
    <row r="2428" spans="1:17">
      <c r="B2428" s="748" t="s">
        <v>3063</v>
      </c>
      <c r="C2428" s="748" t="s">
        <v>1241</v>
      </c>
      <c r="O2428" s="748" t="s">
        <v>3063</v>
      </c>
      <c r="P2428" s="748" t="str">
        <f>'Part VIII-Threshold Criteria'!P380</f>
        <v>Yes</v>
      </c>
      <c r="Q2428" s="748">
        <f>'Part VIII-Threshold Criteria'!Q380</f>
        <v>0</v>
      </c>
    </row>
    <row r="2429" spans="1:17">
      <c r="B2429" s="748" t="s">
        <v>1238</v>
      </c>
      <c r="C2429" s="748" t="s">
        <v>1242</v>
      </c>
      <c r="O2429" s="748" t="s">
        <v>1238</v>
      </c>
      <c r="P2429" s="748">
        <f>'Part VIII-Threshold Criteria'!P381</f>
        <v>0</v>
      </c>
      <c r="Q2429" s="748">
        <f>'Part VIII-Threshold Criteria'!Q381</f>
        <v>0</v>
      </c>
    </row>
    <row r="2430" spans="1:17">
      <c r="B2430" s="748" t="s">
        <v>3212</v>
      </c>
      <c r="C2430" s="748" t="s">
        <v>877</v>
      </c>
      <c r="O2430" s="748" t="s">
        <v>3212</v>
      </c>
      <c r="P2430" s="748">
        <f>'Part VIII-Threshold Criteria'!P382</f>
        <v>0</v>
      </c>
      <c r="Q2430" s="748">
        <f>'Part VIII-Threshold Criteria'!Q382</f>
        <v>0</v>
      </c>
    </row>
    <row r="2431" spans="1:17">
      <c r="B2431" s="748" t="s">
        <v>2762</v>
      </c>
      <c r="C2431" s="748" t="s">
        <v>3175</v>
      </c>
      <c r="G2431" s="748" t="s">
        <v>2762</v>
      </c>
      <c r="H2431" s="748">
        <f>'Part VIII-Threshold Criteria'!H383</f>
        <v>0</v>
      </c>
      <c r="P2431" s="748">
        <f>'Part VIII-Threshold Criteria'!P383</f>
        <v>0</v>
      </c>
      <c r="Q2431" s="748">
        <f>'Part VIII-Threshold Criteria'!Q383</f>
        <v>0</v>
      </c>
    </row>
    <row r="2432" spans="1:17">
      <c r="B2432" s="748" t="s">
        <v>2921</v>
      </c>
    </row>
    <row r="2433" spans="1:17">
      <c r="A2433" s="748" t="str">
        <f>'Part VIII-Threshold Criteria'!A385</f>
        <v>The Legal Opinion and Owner's Certification is included in Tab 21</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4104</v>
      </c>
      <c r="O2438" s="748" t="s">
        <v>3060</v>
      </c>
      <c r="P2438" s="748" t="str">
        <f>'Part VIII-Threshold Criteria'!P390</f>
        <v>Agree</v>
      </c>
      <c r="Q2438" s="748">
        <f>'Part VIII-Threshold Criteria'!Q390</f>
        <v>0</v>
      </c>
    </row>
    <row r="2439" spans="1:17">
      <c r="B2439" s="748" t="s">
        <v>3063</v>
      </c>
      <c r="C2439" s="748" t="s">
        <v>852</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2004</v>
      </c>
      <c r="O2443" s="748" t="s">
        <v>2923</v>
      </c>
      <c r="P2443" s="748">
        <f>'Part VIII-Threshold Criteria'!P395</f>
        <v>0</v>
      </c>
    </row>
    <row r="2444" spans="1:17">
      <c r="B2444" s="748" t="s">
        <v>3060</v>
      </c>
      <c r="C2444" s="748" t="s">
        <v>1243</v>
      </c>
      <c r="O2444" s="748" t="s">
        <v>3060</v>
      </c>
      <c r="P2444" s="748" t="str">
        <f>'Part VIII-Threshold Criteria'!P396</f>
        <v>No</v>
      </c>
      <c r="Q2444" s="748">
        <f>'Part VIII-Threshold Criteria'!Q396</f>
        <v>0</v>
      </c>
    </row>
    <row r="2445" spans="1:17">
      <c r="B2445" s="748" t="s">
        <v>3063</v>
      </c>
      <c r="C2445" s="748" t="s">
        <v>3314</v>
      </c>
      <c r="O2445" s="748" t="s">
        <v>2170</v>
      </c>
      <c r="P2445" s="748">
        <f>'Part VIII-Threshold Criteria'!P397</f>
        <v>0</v>
      </c>
      <c r="Q2445" s="748">
        <f>'Part VIII-Threshold Criteria'!Q397</f>
        <v>0</v>
      </c>
    </row>
    <row r="2446" spans="1:17">
      <c r="C2446" s="748" t="s">
        <v>2226</v>
      </c>
    </row>
    <row r="2447" spans="1:17">
      <c r="C2447" s="748" t="s">
        <v>3315</v>
      </c>
      <c r="O2447" s="748" t="s">
        <v>2765</v>
      </c>
      <c r="P2447" s="748">
        <f>'Part VIII-Threshold Criteria'!P399</f>
        <v>0</v>
      </c>
      <c r="Q2447" s="748">
        <f>'Part VIII-Threshold Criteria'!Q399</f>
        <v>0</v>
      </c>
    </row>
    <row r="2448" spans="1:17">
      <c r="B2448" s="748" t="s">
        <v>1238</v>
      </c>
      <c r="C2448" s="748" t="s">
        <v>3313</v>
      </c>
      <c r="O2448" s="748" t="s">
        <v>1238</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2764</v>
      </c>
      <c r="P2450" s="748">
        <f>'Part VIII-Threshold Criteria'!P402</f>
        <v>0</v>
      </c>
      <c r="Q2450" s="748" t="str">
        <f>'Part VIII-Threshold Criteria'!Q402</f>
        <v xml:space="preserve"> </v>
      </c>
    </row>
    <row r="2451" spans="1:17">
      <c r="C2451" s="748" t="s">
        <v>3317</v>
      </c>
      <c r="O2451" s="748" t="s">
        <v>2765</v>
      </c>
      <c r="P2451" s="748">
        <f>'Part VIII-Threshold Criteria'!P403</f>
        <v>0</v>
      </c>
      <c r="Q2451" s="748">
        <f>'Part VIII-Threshold Criteria'!Q403</f>
        <v>0</v>
      </c>
    </row>
    <row r="2452" spans="1:17">
      <c r="C2452" s="748" t="s">
        <v>3318</v>
      </c>
      <c r="O2452" s="748" t="s">
        <v>2766</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2303</v>
      </c>
      <c r="P2454" s="748">
        <f>'Part VIII-Threshold Criteria'!P406</f>
        <v>0</v>
      </c>
      <c r="Q2454" s="748" t="str">
        <f>'Part VIII-Threshold Criteria'!Q406</f>
        <v xml:space="preserve"> </v>
      </c>
    </row>
    <row r="2455" spans="1:17">
      <c r="B2455" s="748" t="s">
        <v>2762</v>
      </c>
      <c r="C2455" s="748" t="s">
        <v>3614</v>
      </c>
      <c r="O2455" s="748" t="s">
        <v>2762</v>
      </c>
    </row>
    <row r="2456" spans="1:17">
      <c r="C2456" s="748" t="s">
        <v>3321</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f>'Part VIII-Threshold Criteria'!A413</f>
        <v>0</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887</v>
      </c>
      <c r="O2469" s="748" t="s">
        <v>3060</v>
      </c>
      <c r="P2469" s="748" t="str">
        <f>'Part VIII-Threshold Criteria'!P421</f>
        <v>Agree</v>
      </c>
      <c r="Q2469" s="748">
        <f>'Part VIII-Threshold Criteria'!Q421</f>
        <v>0</v>
      </c>
    </row>
    <row r="2470" spans="1:17">
      <c r="B2470" s="748" t="s">
        <v>3063</v>
      </c>
      <c r="C2470" s="748" t="s">
        <v>888</v>
      </c>
      <c r="O2470" s="748" t="s">
        <v>3063</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2923</v>
      </c>
      <c r="P2481" s="748">
        <f>'Part VIII-Threshold Criteria'!P433</f>
        <v>0</v>
      </c>
    </row>
    <row r="2482" spans="1:16">
      <c r="B2482" s="748" t="s">
        <v>2921</v>
      </c>
    </row>
    <row r="2483" spans="1:16">
      <c r="A2483" s="748" t="str">
        <f>'Part VIII-Threshold Criteria'!A435</f>
        <v xml:space="preserve">Veteran Senior Housing Assisted Living is mixed-finance project that will combine public and private financing to bridge the gap of affordable housing for aging seniors and </v>
      </c>
    </row>
    <row r="2484" spans="1:16">
      <c r="A2484" s="748" t="str">
        <f>'Part VIII-Threshold Criteria'!A436</f>
        <v>continue the revitalization of an important WalMart - Mixed-Use corridor in Decatur, GA</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2011-012 Veteran Senior Housing - Assisted Living, ,  County</v>
      </c>
    </row>
    <row r="2495" spans="1:16">
      <c r="M2495" s="748" t="s">
        <v>3337</v>
      </c>
      <c r="O2495" s="748" t="s">
        <v>3336</v>
      </c>
      <c r="P2495" s="748" t="s">
        <v>334</v>
      </c>
    </row>
    <row r="2496" spans="1:16">
      <c r="M2496" s="748" t="s">
        <v>104</v>
      </c>
      <c r="O2496" s="748" t="s">
        <v>3337</v>
      </c>
      <c r="P2496" s="748" t="s">
        <v>3337</v>
      </c>
    </row>
    <row r="2498" spans="1:17">
      <c r="L2498" s="748" t="s">
        <v>1887</v>
      </c>
      <c r="M2498" s="748">
        <v>108</v>
      </c>
      <c r="O2498" s="748">
        <f>O2786</f>
        <v>47</v>
      </c>
      <c r="P2498" s="748">
        <f>P2786</f>
        <v>10</v>
      </c>
    </row>
    <row r="2500" spans="1:17">
      <c r="A2500" s="748" t="s">
        <v>3064</v>
      </c>
      <c r="B2500" s="748" t="s">
        <v>1671</v>
      </c>
      <c r="H2500" s="748" t="s">
        <v>2523</v>
      </c>
      <c r="M2500" s="748">
        <v>10</v>
      </c>
      <c r="O2500" s="748">
        <f>MIN($M2500, $M2500-O2502-O2503-O2504)</f>
        <v>10</v>
      </c>
      <c r="P2500" s="748">
        <f>MIN($M2500, $M2500-P2502-P2503-P2504)</f>
        <v>10</v>
      </c>
      <c r="Q2500" s="748" t="s">
        <v>651</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1215</v>
      </c>
      <c r="F2503" s="748" t="s">
        <v>3895</v>
      </c>
      <c r="G2503" s="748">
        <f>K2509</f>
        <v>0</v>
      </c>
      <c r="H2503" s="748" t="s">
        <v>4105</v>
      </c>
      <c r="M2503" s="748">
        <v>0</v>
      </c>
      <c r="N2503" s="748" t="s">
        <v>3063</v>
      </c>
      <c r="O2503" s="748">
        <f>'Part IX A-Scoring Criteria'!O11</f>
        <v>0</v>
      </c>
      <c r="P2503" s="748">
        <f>'Part IX A-Scoring Criteria'!P11</f>
        <v>0</v>
      </c>
    </row>
    <row r="2504" spans="1:17">
      <c r="A2504" s="748" t="s">
        <v>1238</v>
      </c>
      <c r="B2504" s="748" t="s">
        <v>3210</v>
      </c>
      <c r="F2504" s="748" t="s">
        <v>3895</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2922</v>
      </c>
      <c r="F2508" s="748" t="s">
        <v>2739</v>
      </c>
      <c r="K2508" s="748" t="s">
        <v>2739</v>
      </c>
      <c r="P2508" s="748" t="s">
        <v>2739</v>
      </c>
    </row>
    <row r="2509" spans="1:17">
      <c r="A2509" s="748" t="s">
        <v>3639</v>
      </c>
      <c r="E2509" s="748" t="s">
        <v>785</v>
      </c>
      <c r="F2509" s="748">
        <f>SUM(F2510:F2521)</f>
        <v>0</v>
      </c>
      <c r="G2509" s="748" t="s">
        <v>3640</v>
      </c>
      <c r="J2509" s="748" t="s">
        <v>785</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12</v>
      </c>
      <c r="L2524" s="748" t="s">
        <v>1939</v>
      </c>
      <c r="M2524" s="748">
        <f>IF(OR('Part VI-Revenues &amp; Expenses'!$M$61="", 'Part VI-Revenues &amp; Expenses'!$M$61=0),"",J2524/'Part VI-Revenues &amp; Expenses'!$M$61)</f>
        <v>0.2</v>
      </c>
    </row>
    <row r="2525" spans="1:18">
      <c r="B2525" s="748" t="s">
        <v>333</v>
      </c>
    </row>
    <row r="2526" spans="1:18">
      <c r="A2526" s="748">
        <f>'Part IX A-Scoring Criteria'!A34</f>
        <v>0</v>
      </c>
    </row>
    <row r="2527" spans="1:18">
      <c r="B2527" s="748" t="s">
        <v>2922</v>
      </c>
    </row>
    <row r="2528" spans="1:18">
      <c r="A2528" s="748">
        <f>'Part IX A-Scoring Criteria'!A36</f>
        <v>0</v>
      </c>
    </row>
    <row r="2530" spans="1:17">
      <c r="A2530" s="748" t="s">
        <v>3823</v>
      </c>
      <c r="B2530" s="748" t="s">
        <v>2930</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1238</v>
      </c>
      <c r="B2535" s="748" t="s">
        <v>2934</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The project site is located on out parcel 1 of the Wal-Mart Development located on Memorial Drive. Wal-Mart's support letter is included in Tab 14. The Veteran Senior Housing – Assisted Living is located near two significant commercial developments; Wal-Mart Plaza and Kroger/Belvedere Plaza.  Other Desirables include, but are not limited to Wal-Mart’s Pharmacy, Bank of America,</v>
      </c>
      <c r="Q2538" s="748" t="s">
        <v>1932</v>
      </c>
    </row>
    <row r="2539" spans="1:17" ht="13.15" customHeight="1">
      <c r="A2539" s="748" t="str">
        <f>'Part IX A-Scoring Criteria'!A47</f>
        <v xml:space="preserve"> Wells Fargo, Midway Recreation Center &amp; Park, SALA Learning &amp; Development Centers, Inc. Tiny Tots Decatur, South DeKalb Primary Care Center,  Belvedere United Methodist Church, Taco Bell, and Popeye’s.  Also within one-half mile of the subject property is largely residential area with both single family detached homes and multi-family rental communities.</v>
      </c>
    </row>
    <row r="2540" spans="1:17" ht="13.15" customHeight="1">
      <c r="A2540" s="748">
        <f>'Part IX A-Scoring Criteria'!A48</f>
        <v>0</v>
      </c>
    </row>
    <row r="2541" spans="1:17">
      <c r="B2541" s="748" t="s">
        <v>2922</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2941</v>
      </c>
      <c r="M2547" s="748">
        <v>2</v>
      </c>
      <c r="O2547" s="748">
        <f>MIN($M2547,(O2548+O2549))</f>
        <v>1</v>
      </c>
      <c r="P2547" s="748">
        <f>MIN($M2547,(P2548+P2549))</f>
        <v>0</v>
      </c>
      <c r="Q2547" s="748" t="s">
        <v>651</v>
      </c>
    </row>
    <row r="2548" spans="1:17">
      <c r="A2548" s="748" t="s">
        <v>3060</v>
      </c>
      <c r="B2548" s="748" t="s">
        <v>1709</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1710</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t="str">
        <f>'Part IX A-Scoring Criteria'!A59</f>
        <v>There are several Public Transit Stops adjacent to the project site located at 3644 Memorial Drive.  A Public Transit Stop map is included in Tab 25.</v>
      </c>
    </row>
    <row r="2552" spans="1:17">
      <c r="B2552" s="748" t="s">
        <v>2922</v>
      </c>
    </row>
    <row r="2553" spans="1:17">
      <c r="A2553" s="748">
        <f>'Part IX A-Scoring Criteria'!A61</f>
        <v>0</v>
      </c>
    </row>
    <row r="2554" spans="1:17">
      <c r="A2554" s="748">
        <f>'Part IX A-Scoring Criteria'!A62</f>
        <v>0</v>
      </c>
    </row>
    <row r="2556" spans="1:17" ht="12.6" customHeight="1">
      <c r="A2556" s="748" t="s">
        <v>1886</v>
      </c>
      <c r="B2556" s="748" t="s">
        <v>3704</v>
      </c>
      <c r="E2556" s="748" t="s">
        <v>3706</v>
      </c>
      <c r="I2556" s="748" t="s">
        <v>2941</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t="str">
        <f>'Part IX A-Scoring Criteria'!A69</f>
        <v>N/A</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2090</v>
      </c>
      <c r="I2566" s="748" t="s">
        <v>2941</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t="str">
        <f>'Part IX A-Scoring Criteria'!A77</f>
        <v>N/A</v>
      </c>
    </row>
    <row r="2570" spans="1:18">
      <c r="B2570" s="748" t="s">
        <v>2922</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3060</v>
      </c>
      <c r="C2576" s="748" t="s">
        <v>1569</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1570</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The project team has experience with multiple projects that have been EarthCraft Multifamily Certified.  A Certificate of Attendance to DCA's Sustainability Workshop is included in Tab 29.</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744</v>
      </c>
      <c r="B2585" s="748" t="s">
        <v>3641</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3060</v>
      </c>
      <c r="B2587" s="748" t="s">
        <v>3794</v>
      </c>
      <c r="M2587" s="748">
        <v>4</v>
      </c>
    </row>
    <row r="2588" spans="1:17">
      <c r="A2588" s="748" t="str">
        <f>'Part IX A-Scoring Criteria'!A96</f>
        <v/>
      </c>
      <c r="B2588" s="748" t="s">
        <v>3064</v>
      </c>
      <c r="C2588" s="748" t="s">
        <v>867</v>
      </c>
      <c r="O2588" s="748" t="s">
        <v>3795</v>
      </c>
      <c r="P2588" s="748" t="s">
        <v>3795</v>
      </c>
    </row>
    <row r="2589" spans="1:17">
      <c r="B2589" s="748" t="s">
        <v>3682</v>
      </c>
      <c r="C2589" s="748" t="s">
        <v>3622</v>
      </c>
      <c r="G2589" s="748" t="s">
        <v>3623</v>
      </c>
      <c r="M2589" s="748" t="str">
        <f>IF(AND($I$89="Stable Communities &lt; 10%",O2589=""), "X","")</f>
        <v/>
      </c>
      <c r="N2589" s="748" t="s">
        <v>3682</v>
      </c>
      <c r="O2589" s="748">
        <f>'Part IX A-Scoring Criteria'!O97</f>
        <v>0</v>
      </c>
      <c r="P2589" s="748">
        <f>'Part IX A-Scoring Criteria'!P97</f>
        <v>0</v>
      </c>
    </row>
    <row r="2590" spans="1:17">
      <c r="B2590" s="748" t="s">
        <v>3683</v>
      </c>
      <c r="C2590" s="748" t="s">
        <v>3624</v>
      </c>
      <c r="G2590" s="748" t="s">
        <v>3625</v>
      </c>
      <c r="M2590" s="748" t="str">
        <f>IF(AND($I$89="Stable Communities &lt; 10%",O2590=""), "X","")</f>
        <v/>
      </c>
      <c r="N2590" s="748" t="s">
        <v>3683</v>
      </c>
      <c r="O2590" s="748">
        <f>'Part IX A-Scoring Criteria'!O98</f>
        <v>0</v>
      </c>
      <c r="P2590" s="748">
        <f>'Part IX A-Scoring Criteria'!P98</f>
        <v>0</v>
      </c>
    </row>
    <row r="2591" spans="1:17">
      <c r="B2591" s="748" t="s">
        <v>3686</v>
      </c>
      <c r="C2591" s="748" t="s">
        <v>2190</v>
      </c>
      <c r="M2591" s="748" t="str">
        <f>IF(AND($I$89="Stable Communities &lt; 10%",O2591=""), "X","")</f>
        <v/>
      </c>
      <c r="N2591" s="748" t="s">
        <v>3686</v>
      </c>
      <c r="O2591" s="748">
        <f>'Part IX A-Scoring Criteria'!O99</f>
        <v>0</v>
      </c>
      <c r="P2591" s="748">
        <f>'Part IX A-Scoring Criteria'!P99</f>
        <v>0</v>
      </c>
    </row>
    <row r="2592" spans="1:17">
      <c r="A2592" s="748" t="str">
        <f>'Part IX A-Scoring Criteria'!A100</f>
        <v>X</v>
      </c>
      <c r="B2592" s="748" t="s">
        <v>3066</v>
      </c>
      <c r="C2592" s="748" t="s">
        <v>867</v>
      </c>
      <c r="O2592" s="748" t="s">
        <v>3795</v>
      </c>
      <c r="P2592" s="748" t="s">
        <v>3795</v>
      </c>
    </row>
    <row r="2593" spans="1:16">
      <c r="B2593" s="748" t="s">
        <v>3682</v>
      </c>
      <c r="C2593" s="748" t="s">
        <v>3707</v>
      </c>
      <c r="G2593" s="748" t="s">
        <v>3626</v>
      </c>
      <c r="M2593" s="748" t="str">
        <f>IF(AND($I$89="Stable Communities &lt; 20%",O2593=""), "X","")</f>
        <v/>
      </c>
      <c r="N2593" s="748" t="s">
        <v>3682</v>
      </c>
      <c r="O2593" s="748" t="str">
        <f>'Part IX A-Scoring Criteria'!O101</f>
        <v>Yes</v>
      </c>
      <c r="P2593" s="748">
        <f>'Part IX A-Scoring Criteria'!P101</f>
        <v>0</v>
      </c>
    </row>
    <row r="2594" spans="1:16">
      <c r="B2594" s="748" t="s">
        <v>3683</v>
      </c>
      <c r="C2594" s="748" t="s">
        <v>3624</v>
      </c>
      <c r="G2594" s="748" t="s">
        <v>3625</v>
      </c>
      <c r="M2594" s="748" t="str">
        <f>IF(AND($I$89="Stable Communities &lt; 20%",O2594=""), "X","")</f>
        <v/>
      </c>
      <c r="N2594" s="748" t="s">
        <v>3683</v>
      </c>
      <c r="O2594" s="748" t="str">
        <f>'Part IX A-Scoring Criteria'!O102</f>
        <v>Yes</v>
      </c>
      <c r="P2594" s="748">
        <f>'Part IX A-Scoring Criteria'!P102</f>
        <v>0</v>
      </c>
    </row>
    <row r="2595" spans="1:16">
      <c r="B2595" s="748" t="s">
        <v>3686</v>
      </c>
      <c r="C2595" s="748" t="s">
        <v>2190</v>
      </c>
      <c r="M2595" s="748" t="str">
        <f>IF(AND($I$89="Stable Communities &lt; 20%",O2595=""), "X","")</f>
        <v/>
      </c>
      <c r="N2595" s="748" t="s">
        <v>3686</v>
      </c>
      <c r="O2595" s="748" t="str">
        <f>'Part IX A-Scoring Criteria'!O103</f>
        <v>Yes</v>
      </c>
      <c r="P2595" s="748">
        <f>'Part IX A-Scoring Criteria'!P103</f>
        <v>0</v>
      </c>
    </row>
    <row r="2596" spans="1:16">
      <c r="A2596" s="748" t="s">
        <v>3063</v>
      </c>
      <c r="B2596" s="748" t="s">
        <v>346</v>
      </c>
      <c r="M2596" s="748">
        <v>6</v>
      </c>
    </row>
    <row r="2597" spans="1:16">
      <c r="A2597" s="748" t="str">
        <f>'Part IX A-Scoring Criteria'!A105</f>
        <v/>
      </c>
      <c r="B2597" s="748" t="s">
        <v>3064</v>
      </c>
      <c r="C2597" s="748" t="s">
        <v>4106</v>
      </c>
      <c r="O2597" s="748" t="s">
        <v>3795</v>
      </c>
      <c r="P2597" s="748" t="s">
        <v>3795</v>
      </c>
    </row>
    <row r="2598" spans="1:16">
      <c r="B2598" s="748" t="s">
        <v>3682</v>
      </c>
      <c r="C2598" s="748" t="s">
        <v>913</v>
      </c>
      <c r="M2598" s="748" t="str">
        <f>IF(AND($I$89="HOPE VI Initiative",O2598=""), "X","")</f>
        <v/>
      </c>
      <c r="N2598" s="748" t="s">
        <v>3682</v>
      </c>
      <c r="O2598" s="748">
        <f>'Part IX A-Scoring Criteria'!O106</f>
        <v>0</v>
      </c>
      <c r="P2598" s="748">
        <f>'Part IX A-Scoring Criteria'!P106</f>
        <v>0</v>
      </c>
    </row>
    <row r="2599" spans="1:16">
      <c r="B2599" s="748" t="s">
        <v>3683</v>
      </c>
      <c r="C2599" s="748" t="s">
        <v>914</v>
      </c>
      <c r="M2599" s="748" t="str">
        <f>IF(AND($I$89="HOPE VI Initiative",O2599=""), "X","")</f>
        <v/>
      </c>
      <c r="N2599" s="748" t="s">
        <v>3683</v>
      </c>
      <c r="O2599" s="748">
        <f>'Part IX A-Scoring Criteria'!O107</f>
        <v>0</v>
      </c>
      <c r="P2599" s="748">
        <f>'Part IX A-Scoring Criteria'!P107</f>
        <v>0</v>
      </c>
    </row>
    <row r="2600" spans="1:16">
      <c r="B2600" s="748" t="s">
        <v>3684</v>
      </c>
      <c r="C2600" s="748" t="s">
        <v>915</v>
      </c>
      <c r="M2600" s="748" t="str">
        <f>IF(AND($I$89="HOPE VI Initiative",O2600=""), "X","")</f>
        <v/>
      </c>
      <c r="N2600" s="748" t="s">
        <v>3684</v>
      </c>
      <c r="O2600" s="748">
        <f>'Part IX A-Scoring Criteria'!O108</f>
        <v>0</v>
      </c>
      <c r="P2600" s="748">
        <f>'Part IX A-Scoring Criteria'!P108</f>
        <v>0</v>
      </c>
    </row>
    <row r="2601" spans="1:16">
      <c r="B2601" s="748" t="s">
        <v>3685</v>
      </c>
      <c r="C2601" s="748" t="s">
        <v>916</v>
      </c>
      <c r="M2601" s="748" t="str">
        <f>IF(AND($I$89="HOPE VI Initiative",O2601=""), "X","")</f>
        <v/>
      </c>
      <c r="N2601" s="748" t="s">
        <v>3685</v>
      </c>
      <c r="O2601" s="748">
        <f>'Part IX A-Scoring Criteria'!O109</f>
        <v>0</v>
      </c>
      <c r="P2601" s="748">
        <f>'Part IX A-Scoring Criteria'!P109</f>
        <v>0</v>
      </c>
    </row>
    <row r="2602" spans="1:16">
      <c r="B2602" s="748" t="s">
        <v>3066</v>
      </c>
      <c r="C2602" s="748" t="s">
        <v>539</v>
      </c>
      <c r="G2602" s="748" t="s">
        <v>920</v>
      </c>
      <c r="N2602" s="748" t="s">
        <v>3066</v>
      </c>
      <c r="O2602" s="748">
        <f>'Part IX A-Scoring Criteria'!O110</f>
        <v>0</v>
      </c>
      <c r="P2602" s="748">
        <f>'Part IX A-Scoring Criteria'!P110</f>
        <v>0</v>
      </c>
    </row>
    <row r="2603" spans="1:16">
      <c r="A2603" s="748" t="str">
        <f>'Part IX A-Scoring Criteria'!A111</f>
        <v/>
      </c>
      <c r="B2603" s="748" t="s">
        <v>3823</v>
      </c>
      <c r="C2603" s="748" t="s">
        <v>540</v>
      </c>
      <c r="G2603" s="748" t="s">
        <v>1650</v>
      </c>
      <c r="H2603" s="748" t="str">
        <f>'Part IX A-Scoring Criteria'!H111</f>
        <v>&lt;&lt;Select&gt;&gt;</v>
      </c>
      <c r="I2603" s="748" t="s">
        <v>1562</v>
      </c>
      <c r="J2603" s="748">
        <f>'Part IX A-Scoring Criteria'!J111</f>
        <v>0</v>
      </c>
      <c r="N2603" s="748" t="s">
        <v>3823</v>
      </c>
      <c r="O2603" s="748">
        <f>'Part IX A-Scoring Criteria'!O111</f>
        <v>0</v>
      </c>
      <c r="P2603" s="748">
        <f>'Part IX A-Scoring Criteria'!P111</f>
        <v>0</v>
      </c>
    </row>
    <row r="2604" spans="1:16">
      <c r="A2604" s="748" t="str">
        <f>'Part IX A-Scoring Criteria'!A112</f>
        <v/>
      </c>
      <c r="B2604" s="748" t="s">
        <v>1885</v>
      </c>
      <c r="C2604" s="748" t="s">
        <v>3611</v>
      </c>
      <c r="G2604" s="748" t="s">
        <v>636</v>
      </c>
      <c r="H2604" s="748">
        <f>'Part IX A-Scoring Criteria'!H112</f>
        <v>0</v>
      </c>
      <c r="N2604" s="748" t="s">
        <v>1885</v>
      </c>
      <c r="O2604" s="748">
        <f>'Part IX A-Scoring Criteria'!O112</f>
        <v>0</v>
      </c>
      <c r="P2604" s="748">
        <f>'Part IX A-Scoring Criteria'!P112</f>
        <v>0</v>
      </c>
    </row>
    <row r="2605" spans="1:16">
      <c r="B2605" s="748" t="s">
        <v>3682</v>
      </c>
      <c r="C2605" s="748" t="s">
        <v>921</v>
      </c>
      <c r="G2605" s="748" t="s">
        <v>919</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X</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918</v>
      </c>
      <c r="C2616" s="748" t="s">
        <v>3724</v>
      </c>
      <c r="M2616" s="748" t="str">
        <f t="shared" si="374"/>
        <v/>
      </c>
      <c r="N2616" s="748" t="s">
        <v>918</v>
      </c>
      <c r="O2616" s="748">
        <f>'Part IX A-Scoring Criteria'!O124</f>
        <v>0</v>
      </c>
      <c r="P2616" s="748">
        <f>'Part IX A-Scoring Criteria'!P124</f>
        <v>0</v>
      </c>
    </row>
    <row r="2617" spans="1:17">
      <c r="B2617" s="748" t="s">
        <v>333</v>
      </c>
    </row>
    <row r="2618" spans="1:17">
      <c r="A2618" s="748" t="str">
        <f>'Part IX A-Scoring Criteria'!A126</f>
        <v>An preliminary demand analysis performed by RealPropertyResearchGroup confirmed that the project site is located in a Stable Community with a high demand for affordable Senior Assisted Living housing.</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504</v>
      </c>
      <c r="M2624" s="748">
        <v>3</v>
      </c>
      <c r="O2624" s="748">
        <f>MIN($M2624,(O2625+O2631))</f>
        <v>0</v>
      </c>
      <c r="P2624" s="748">
        <f>MIN($M2624,(P2625+P2631))</f>
        <v>0</v>
      </c>
      <c r="Q2624" s="748" t="s">
        <v>651</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1564</v>
      </c>
      <c r="N2626" s="748" t="s">
        <v>3064</v>
      </c>
      <c r="O2626" s="748">
        <f>'Part IX A-Scoring Criteria'!O134</f>
        <v>0</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3066</v>
      </c>
      <c r="C2628" s="748" t="s">
        <v>1566</v>
      </c>
      <c r="L2628" s="748" t="str">
        <f>IF(OR($O2628=$M2628,$O2628=0,$O2628=""),"","* * Check Score! * *")</f>
        <v/>
      </c>
      <c r="N2628" s="748" t="s">
        <v>3066</v>
      </c>
      <c r="O2628" s="748">
        <f>'Part IX A-Scoring Criteria'!O136</f>
        <v>0</v>
      </c>
      <c r="P2628" s="748">
        <f>'Part IX A-Scoring Criteria'!P136</f>
        <v>0</v>
      </c>
    </row>
    <row r="2629" spans="1:17">
      <c r="B2629" s="748" t="s">
        <v>3823</v>
      </c>
      <c r="C2629" s="748" t="s">
        <v>1567</v>
      </c>
      <c r="L2629" s="748" t="str">
        <f>IF(OR($O2629=$M2629,$O2629=0,$O2629=""),"","* * Check Score! * *")</f>
        <v/>
      </c>
      <c r="N2629" s="748" t="s">
        <v>3823</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3063</v>
      </c>
      <c r="C2631" s="748" t="s">
        <v>3359</v>
      </c>
      <c r="M2631" s="748">
        <v>3</v>
      </c>
      <c r="N2631" s="748" t="s">
        <v>3063</v>
      </c>
      <c r="O2631" s="748">
        <f>IF($M2632=4,3,IF($M2632=3,2,IF($M2632=2,1,0)))</f>
        <v>0</v>
      </c>
      <c r="P2631" s="748">
        <f>IF($M2632=4,3,IF($M2632=3,2,IF($M2632=2,1,0)))</f>
        <v>0</v>
      </c>
    </row>
    <row r="2632" spans="1:17">
      <c r="L2632" s="748" t="s">
        <v>734</v>
      </c>
      <c r="M2632" s="748" t="str">
        <f>'Part IX A-Scoring Criteria'!M140</f>
        <v>&lt;Select&gt;</v>
      </c>
      <c r="N2632" s="748" t="s">
        <v>735</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2667</v>
      </c>
      <c r="O2646" s="748" t="s">
        <v>3710</v>
      </c>
      <c r="P2646" s="748">
        <f>'Part IX A-Scoring Criteria'!P154</f>
        <v>0</v>
      </c>
    </row>
    <row r="2647" spans="1:16">
      <c r="A2647" s="748" t="s">
        <v>3717</v>
      </c>
      <c r="B2647" s="748" t="s">
        <v>2668</v>
      </c>
      <c r="O2647" s="748" t="s">
        <v>3717</v>
      </c>
      <c r="P2647" s="748">
        <f>'Part IX A-Scoring Criteria'!P155</f>
        <v>0</v>
      </c>
    </row>
    <row r="2648" spans="1:16">
      <c r="B2648" s="748" t="s">
        <v>333</v>
      </c>
    </row>
    <row r="2649" spans="1:16">
      <c r="A2649" s="748" t="str">
        <f>'Part IX A-Scoring Criteria'!A157</f>
        <v>The Veteran Senior Housing - Assisted Living will be located in City of Decatur, DeKalb County, immediately adjacent to Walmart and several other commercial business.  This project will be able to successfully reach and maintain a stabliized occupancy upon entrance.</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504</v>
      </c>
      <c r="M2658" s="748">
        <v>1</v>
      </c>
      <c r="O2658" s="748">
        <f>MIN($M2658,SUM(O2659:O2660))</f>
        <v>1</v>
      </c>
      <c r="P2658" s="748">
        <f>MIN($M2658,SUM(P2659:P2660))</f>
        <v>0</v>
      </c>
      <c r="Q2658" s="748" t="s">
        <v>651</v>
      </c>
    </row>
    <row r="2659" spans="1:18">
      <c r="B2659" s="748" t="s">
        <v>3060</v>
      </c>
      <c r="C2659" s="748" t="s">
        <v>3361</v>
      </c>
      <c r="K2659" s="748" t="s">
        <v>2215</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504</v>
      </c>
      <c r="M2667" s="748">
        <v>6</v>
      </c>
      <c r="O2667" s="748">
        <f>MIN($M2667,(O2668+O2672))</f>
        <v>0</v>
      </c>
      <c r="P2667" s="748">
        <f>MIN($M2667,(P2668+P2672))</f>
        <v>0</v>
      </c>
      <c r="Q2667" s="748" t="s">
        <v>651</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2669</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2671</v>
      </c>
      <c r="M2673" s="748">
        <v>6</v>
      </c>
      <c r="N2673" s="748" t="s">
        <v>3064</v>
      </c>
      <c r="O2673" s="748">
        <f>'Part IX A-Scoring Criteria'!O181</f>
        <v>0</v>
      </c>
      <c r="P2673" s="748">
        <f>'Part IX A-Scoring Criteria'!P181</f>
        <v>0</v>
      </c>
    </row>
    <row r="2674" spans="1:18">
      <c r="B2674" s="748" t="s">
        <v>3066</v>
      </c>
      <c r="C2674" s="748" t="s">
        <v>2672</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2670</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3060</v>
      </c>
      <c r="B2684" s="748" t="s">
        <v>922</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2112</v>
      </c>
      <c r="B2691" s="748" t="s">
        <v>2673</v>
      </c>
      <c r="J2691" s="748" t="s">
        <v>504</v>
      </c>
      <c r="M2691" s="748">
        <v>2</v>
      </c>
      <c r="O2691" s="748">
        <f>MIN($M2691,O2693+O2692)</f>
        <v>0</v>
      </c>
      <c r="P2691" s="748">
        <f>MIN($M2691,P2693+P2692)</f>
        <v>0</v>
      </c>
      <c r="Q2691" s="748" t="s">
        <v>651</v>
      </c>
    </row>
    <row r="2692" spans="1:18">
      <c r="A2692" s="748" t="s">
        <v>3060</v>
      </c>
      <c r="B2692" s="748" t="s">
        <v>4107</v>
      </c>
      <c r="L2692" s="748" t="str">
        <f>IF(OR($O2692=$M2692,$O2692=0,$O2692=""),"","* * Check Score! * *")</f>
        <v/>
      </c>
      <c r="M2692" s="748">
        <v>2</v>
      </c>
      <c r="N2692" s="748" t="s">
        <v>3060</v>
      </c>
      <c r="O2692" s="748">
        <f>'Part IX A-Scoring Criteria'!O200</f>
        <v>0</v>
      </c>
      <c r="P2692" s="748">
        <f>'Part IX A-Scoring Criteria'!P200</f>
        <v>0</v>
      </c>
      <c r="R2692" s="748" t="str">
        <f>IF(OR($O2692=$M2692,$O2692=0,$O2692=""),"","* * Check Score! * *")</f>
        <v/>
      </c>
    </row>
    <row r="2693" spans="1:18">
      <c r="A2693" s="748" t="s">
        <v>3063</v>
      </c>
      <c r="B2693" s="748" t="s">
        <v>4108</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f>'Part IX A-Scoring Criteria'!A203</f>
        <v>0</v>
      </c>
    </row>
    <row r="2696" spans="1:18">
      <c r="B2696" s="748" t="s">
        <v>2922</v>
      </c>
    </row>
    <row r="2697" spans="1:18">
      <c r="A2697" s="748">
        <f>'Part IX A-Scoring Criteria'!A205</f>
        <v>0</v>
      </c>
    </row>
    <row r="2699" spans="1:18">
      <c r="A2699" s="748" t="s">
        <v>2676</v>
      </c>
      <c r="B2699" s="748" t="s">
        <v>1037</v>
      </c>
      <c r="J2699" s="748" t="s">
        <v>3642</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1571</v>
      </c>
    </row>
    <row r="2701" spans="1:18">
      <c r="C2701" s="748" t="s">
        <v>951</v>
      </c>
      <c r="D2701" s="748">
        <f>'Part IX A-Scoring Criteria'!D209</f>
        <v>0</v>
      </c>
      <c r="I2701" s="748" t="s">
        <v>1572</v>
      </c>
      <c r="J2701" s="748">
        <f>'Part IX A-Scoring Criteria'!J209</f>
        <v>0</v>
      </c>
      <c r="L2701" s="748" t="s">
        <v>4109</v>
      </c>
      <c r="M2701" s="748">
        <f>'Part IX A-Scoring Criteria'!M209</f>
        <v>0</v>
      </c>
    </row>
    <row r="2702" spans="1:18">
      <c r="B2702" s="748" t="s">
        <v>333</v>
      </c>
      <c r="J2702" s="748" t="s">
        <v>2922</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2893</v>
      </c>
      <c r="E2706" s="748" t="str">
        <f>'Part IX A-Scoring Criteria'!E214</f>
        <v>&lt;&lt;Select a DCA Community Initiative&gt;&gt;</v>
      </c>
      <c r="I2706" s="748" t="s">
        <v>2892</v>
      </c>
      <c r="O2706" s="748" t="s">
        <v>3795</v>
      </c>
      <c r="P2706" s="748" t="s">
        <v>3795</v>
      </c>
    </row>
    <row r="2707" spans="1:17">
      <c r="B2707" s="748" t="s">
        <v>3682</v>
      </c>
      <c r="C2707" s="748" t="s">
        <v>2679</v>
      </c>
      <c r="G2707" s="748" t="str">
        <f>'Part IX A-Scoring Criteria'!G215</f>
        <v>&lt; Select applicable GICH &gt;</v>
      </c>
      <c r="J2707" s="748" t="str">
        <f>'Part IX A-Scoring Criteria'!J215</f>
        <v>&lt;Select Community of Opportunity&gt;</v>
      </c>
      <c r="N2707" s="748" t="s">
        <v>3682</v>
      </c>
      <c r="O2707" s="748">
        <f>'Part IX A-Scoring Criteria'!O215</f>
        <v>0</v>
      </c>
      <c r="P2707" s="748">
        <f>'Part IX A-Scoring Criteria'!P215</f>
        <v>0</v>
      </c>
    </row>
    <row r="2708" spans="1:17">
      <c r="B2708" s="748" t="s">
        <v>3683</v>
      </c>
      <c r="C2708" s="748" t="s">
        <v>505</v>
      </c>
      <c r="N2708" s="748" t="s">
        <v>3683</v>
      </c>
      <c r="O2708" s="748">
        <f>'Part IX A-Scoring Criteria'!O216</f>
        <v>0</v>
      </c>
      <c r="P2708" s="748">
        <f>'Part IX A-Scoring Criteria'!P216</f>
        <v>0</v>
      </c>
    </row>
    <row r="2709" spans="1:17">
      <c r="B2709" s="748" t="s">
        <v>3684</v>
      </c>
      <c r="C2709" s="748" t="s">
        <v>2624</v>
      </c>
      <c r="N2709" s="748" t="s">
        <v>3684</v>
      </c>
      <c r="O2709" s="748">
        <f>'Part IX A-Scoring Criteria'!O217</f>
        <v>0</v>
      </c>
      <c r="P2709" s="748">
        <f>'Part IX A-Scoring Criteria'!P217</f>
        <v>0</v>
      </c>
    </row>
    <row r="2710" spans="1:17">
      <c r="B2710" s="748" t="s">
        <v>3685</v>
      </c>
      <c r="C2710" s="748" t="s">
        <v>3491</v>
      </c>
      <c r="N2710" s="748" t="s">
        <v>3685</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2680</v>
      </c>
      <c r="B2719" s="748" t="s">
        <v>2894</v>
      </c>
      <c r="L2719" s="748" t="str">
        <f>IF(M2719&gt;14,"Over limit!","")</f>
        <v/>
      </c>
      <c r="M2719" s="748">
        <v>8</v>
      </c>
      <c r="O2719" s="748">
        <f>MIN($M2719,(O2727+O2737+O2739))</f>
        <v>1</v>
      </c>
      <c r="P2719" s="748">
        <f>MIN($M2719,(P2727+P2737+P2739))</f>
        <v>0</v>
      </c>
      <c r="Q2719" s="748" t="s">
        <v>651</v>
      </c>
    </row>
    <row r="2720" spans="1:17">
      <c r="B2720" s="748" t="s">
        <v>868</v>
      </c>
      <c r="L2720" s="748" t="str">
        <f>IF(M2720&gt;14,"Over limit!","")</f>
        <v/>
      </c>
      <c r="O2720" s="748" t="s">
        <v>3795</v>
      </c>
      <c r="P2720" s="748" t="s">
        <v>3795</v>
      </c>
    </row>
    <row r="2721" spans="1:18">
      <c r="B2721" s="748" t="s">
        <v>3064</v>
      </c>
      <c r="C2721" s="748" t="s">
        <v>869</v>
      </c>
      <c r="L2721" s="748" t="str">
        <f>IF(M2721&gt;14,"Over limit!","")</f>
        <v/>
      </c>
      <c r="N2721" s="748" t="s">
        <v>3064</v>
      </c>
      <c r="O2721" s="748" t="str">
        <f>'Part IX A-Scoring Criteria'!O229</f>
        <v>Yes</v>
      </c>
      <c r="P2721" s="748">
        <f>'Part IX A-Scoring Criteria'!P229</f>
        <v>0</v>
      </c>
    </row>
    <row r="2722" spans="1:18">
      <c r="B2722" s="748" t="s">
        <v>3066</v>
      </c>
      <c r="C2722" s="748" t="s">
        <v>870</v>
      </c>
      <c r="N2722" s="748" t="s">
        <v>3066</v>
      </c>
      <c r="O2722" s="748" t="str">
        <f>'Part IX A-Scoring Criteria'!O230</f>
        <v>Yes</v>
      </c>
      <c r="P2722" s="748">
        <f>'Part IX A-Scoring Criteria'!P230</f>
        <v>0</v>
      </c>
    </row>
    <row r="2723" spans="1:18">
      <c r="B2723" s="748" t="s">
        <v>3823</v>
      </c>
      <c r="C2723" s="748" t="s">
        <v>871</v>
      </c>
      <c r="N2723" s="748" t="s">
        <v>3823</v>
      </c>
      <c r="O2723" s="748" t="str">
        <f>'Part IX A-Scoring Criteria'!O231</f>
        <v>Yes</v>
      </c>
      <c r="P2723" s="748">
        <f>'Part IX A-Scoring Criteria'!P231</f>
        <v>0</v>
      </c>
    </row>
    <row r="2724" spans="1:18">
      <c r="B2724" s="748" t="s">
        <v>1885</v>
      </c>
      <c r="C2724" s="748" t="s">
        <v>872</v>
      </c>
      <c r="N2724" s="748" t="s">
        <v>1885</v>
      </c>
      <c r="O2724" s="748" t="str">
        <f>'Part IX A-Scoring Criteria'!O232</f>
        <v>Yes</v>
      </c>
      <c r="P2724" s="748">
        <f>'Part IX A-Scoring Criteria'!P232</f>
        <v>0</v>
      </c>
    </row>
    <row r="2725" spans="1:18">
      <c r="B2725" s="748" t="s">
        <v>1886</v>
      </c>
      <c r="C2725" s="748" t="s">
        <v>884</v>
      </c>
      <c r="N2725" s="748" t="s">
        <v>1886</v>
      </c>
      <c r="O2725" s="748" t="str">
        <f>'Part IX A-Scoring Criteria'!O233</f>
        <v>Yes</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1</v>
      </c>
      <c r="P2727" s="748">
        <f>MIN($M2727,SUM(P2728:P2735))</f>
        <v>0</v>
      </c>
    </row>
    <row r="2728" spans="1:18">
      <c r="B2728" s="748" t="s">
        <v>3064</v>
      </c>
      <c r="C2728" s="748" t="s">
        <v>2216</v>
      </c>
      <c r="H2728" s="748" t="s">
        <v>2217</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2220</v>
      </c>
      <c r="H2729" s="748" t="s">
        <v>2217</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2224</v>
      </c>
      <c r="H2730" s="748" t="s">
        <v>2217</v>
      </c>
      <c r="L2730" s="748" t="str">
        <f>IF(OR($O2730=$M2730,$O2730=0,$O2730=""),"","* * Check Score! * *")</f>
        <v/>
      </c>
      <c r="M2730" s="748">
        <v>1</v>
      </c>
      <c r="N2730" s="748" t="s">
        <v>3823</v>
      </c>
      <c r="O2730" s="748">
        <f>'Part IX A-Scoring Criteria'!O238</f>
        <v>1</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2943</v>
      </c>
      <c r="C2733" s="748" t="s">
        <v>2222</v>
      </c>
      <c r="H2733" s="748" t="s">
        <v>2218</v>
      </c>
      <c r="L2733" s="748" t="str">
        <f t="shared" si="375"/>
        <v/>
      </c>
      <c r="M2733" s="748">
        <v>2</v>
      </c>
      <c r="N2733" s="748" t="s">
        <v>2943</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3064</v>
      </c>
      <c r="C2740" s="748" t="s">
        <v>983</v>
      </c>
      <c r="E2740" s="748">
        <f>'Part IX A-Scoring Criteria'!E248</f>
        <v>0</v>
      </c>
    </row>
    <row r="2741" spans="1:18">
      <c r="B2741" s="748" t="s">
        <v>3066</v>
      </c>
      <c r="C2741" s="748" t="s">
        <v>3561</v>
      </c>
      <c r="E2741" s="748">
        <f>'Part IX A-Scoring Criteria'!E249</f>
        <v>0</v>
      </c>
    </row>
    <row r="2742" spans="1:18">
      <c r="B2742" s="748" t="s">
        <v>3823</v>
      </c>
      <c r="C2742" s="748" t="s">
        <v>984</v>
      </c>
      <c r="E2742" s="748">
        <f>'Part IX A-Scoring Criteria'!E250</f>
        <v>0</v>
      </c>
    </row>
    <row r="2744" spans="1:18">
      <c r="B2744" s="748" t="s">
        <v>333</v>
      </c>
    </row>
    <row r="2745" spans="1:18">
      <c r="A2745" s="748" t="str">
        <f>'Part IX A-Scoring Criteria'!A253</f>
        <v xml:space="preserve">The applicant has applied for funding for a HOME Loan from DeKalb County, GA.  A copy of the letter from DeKalb County Planning Department outlining the terms is included in Tab 5, Financing Commitments. </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Narrative requesting Superior Project Designation for DeKalb Veteran Senior Housing is included in Tab 39.   This affordable assisted living facility wil be the first of its kind in Georgia.  It will also serve an important Constituency;  U.S. Veterans and their spouses.</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3</v>
      </c>
      <c r="P2762" s="748">
        <f>MIN($M2762,P2764+P2763)</f>
        <v>0</v>
      </c>
      <c r="Q2762" s="748" t="s">
        <v>651</v>
      </c>
    </row>
    <row r="2763" spans="1:18">
      <c r="A2763" s="748" t="s">
        <v>3060</v>
      </c>
      <c r="B2763" s="748" t="s">
        <v>2687</v>
      </c>
      <c r="L2763" s="748" t="str">
        <f>IF(OR($O2763=$M2763,$O2763=0,$O2763=""),"","* * Check Score! * *")</f>
        <v/>
      </c>
      <c r="M2763" s="748">
        <v>3</v>
      </c>
      <c r="N2763" s="748" t="s">
        <v>3060</v>
      </c>
      <c r="O2763" s="748">
        <f>'Part IX A-Scoring Criteria'!O271</f>
        <v>0</v>
      </c>
      <c r="P2763" s="748">
        <f>'Part IX A-Scoring Criteria'!P271</f>
        <v>0</v>
      </c>
      <c r="R2763" s="748" t="str">
        <f>IF(OR($O2763=$M2763,$O2763=0,$O2763=""),"","* * Check Score! * *")</f>
        <v/>
      </c>
    </row>
    <row r="2764" spans="1:18">
      <c r="A2764" s="748" t="s">
        <v>3063</v>
      </c>
      <c r="B2764" s="748" t="s">
        <v>2688</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f>'Part IX A-Scoring Criteria'!O273</f>
        <v>0</v>
      </c>
      <c r="P2765" s="748">
        <f>'Part IX A-Scoring Criteria'!P273</f>
        <v>0</v>
      </c>
    </row>
    <row r="2766" spans="1:18">
      <c r="B2766" s="748" t="s">
        <v>333</v>
      </c>
    </row>
    <row r="2767" spans="1:18">
      <c r="A2767" s="748">
        <f>'Part IX A-Scoring Criteria'!A275</f>
        <v>0</v>
      </c>
    </row>
    <row r="2768" spans="1:18">
      <c r="B2768" s="748" t="s">
        <v>2922</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3837</v>
      </c>
      <c r="O2773" s="748" t="str">
        <f>'Part IX A-Scoring Criteria'!O281</f>
        <v>Yes</v>
      </c>
      <c r="P2773" s="748">
        <f>'Part IX A-Scoring Criteria'!P281</f>
        <v>0</v>
      </c>
    </row>
    <row r="2775" spans="1:17">
      <c r="B2775" s="748" t="s">
        <v>3060</v>
      </c>
      <c r="C2775" s="748" t="s">
        <v>2160</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 xml:space="preserve">There is an open 8823 on Centennial Phase I pertaining to a building set-aside issue.  The issue arose from an incorrect selection to treat each building as an individual project on the 8609s, which resulted in one building having too few units set aside to be treated as an individual project.  A copy of the Private Letter Ruling request to the IRS seeking modification of the set-aside </v>
      </c>
      <c r="Q2780" s="748" t="s">
        <v>1932</v>
      </c>
    </row>
    <row r="2781" spans="1:17">
      <c r="A2781" s="748" t="str">
        <f>'Part IX A-Scoring Criteria'!A289</f>
        <v xml:space="preserve">election was provided to DCA by April 1, 2011.  The open 8823 results in a 1 point deduction.  The Project Team qualifies for 3 bonus points by owning &amp; managing 10 qualifying projects. </v>
      </c>
    </row>
    <row r="2782" spans="1:17">
      <c r="B2782" s="748" t="s">
        <v>2922</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47</v>
      </c>
      <c r="P2786" s="748">
        <f>P2500+P2523+P2530+P2547+P2556+P2566+P2574+P2585+P2624+P2638+P2658+P2667+P2683+P2691+P2699+P2705+P2719+P2751+P2762+P2771</f>
        <v>10</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DCA’s stated criteria for electing a superior project includes the following areas of consideration:  1) Community changing effect on the neighborhood, 2) Unique concept or design / meets an overriding DCA objective, 3) Urgent need in the community are met, and 4) Substantial community support and involvement.   We truly believe that this project, Dekalb (County) Veteran Senior Housing, represents a superior project concept.  </v>
      </c>
    </row>
    <row r="2797" spans="1:16">
      <c r="A2797" s="748" t="str">
        <f>'Pt IX B-Super Proj Concept Narr'!A7</f>
        <v xml:space="preserve">Currently, once a senior can no longer live independently, residing in nursing homes is one of the few long term care options for low- to moderate-income seniors.   While assisted living facilities can provide aging seniors with a more desirable community like setting, and delay or even prevent the need for admittance into a nursing home, the high private pay costs is unaffordable for most seniors.  Housing makes up a substantial portion of the total cost of living in an assisted living facility; land and development costs have a considerable impact on affordability.  Although many government agencies and private foundations hope to alleviate the situation by providing incentives such as loans or subsidies, the funds are fragmented and difficult to access (The Long Term Care Community Coalition 2008).   We submit the Dekalb Veteran Senior Housing project as a viable option to address this senior housing dilemma.  </v>
      </c>
    </row>
    <row r="2799" spans="1:16">
      <c r="A2799" s="748" t="str">
        <f>'Pt IX B-Super Proj Concept Narr'!A9</f>
        <v xml:space="preserve">Our Dekalb Veteran Senior Housing – Assisted Living (“VSH”) Facility will, hopefully, be the first of many facilities addressing the needs of veteran and non-veteran seniors.  VSH will be a new construction, single building with 60 units, located at 3644 Memorial Drive, adjacent to the Wal-Mart Shopping Center.  Our project will be in the midst of a vibrant community in close proximity to amenities for our residents.  Our resident population will consist of 100% veterans. Therefore, in addition to being in close proximity to the amenities of the area, our property will be in close proximity to the VA Medical Center located on Clairmont Road.  Locating wonderful affordable housing, along with quality Health Care, are amongst the most important issues facing our growing veteran senior population.   </v>
      </c>
    </row>
    <row r="2801" spans="1:1">
      <c r="A2801" s="748" t="str">
        <f>'Pt IX B-Super Proj Concept Narr'!A11</f>
        <v xml:space="preserve">Community changing effect on the neighborhood - The demand for affordable senior living solutions is significant and growing exponentially. From 2007 to 2030, the population age 65+ is projected to grown by 89%, that is more than four times as fast as the population as a whole (+21%).  Most of this growth, especially over the next 10-15 years, will be amongst the young old (age 65-74) because of the aging of the baby boomers.  A better barometer for the potential demand for long term care services is the growth in the population age 85 or older, which is expected to increase by 74% between 2007 and 2030.  The oldest old not only have much higher rates of disability, but they also are much more likely to be widowed and without someone to provide assistance with daily activities.  (See Table 1 in attached supporting documentation) </v>
      </c>
    </row>
    <row r="2803" spans="1:1">
      <c r="A2803" s="748" t="str">
        <f>'Pt IX B-Super Proj Concept Narr'!A13</f>
        <v>The population aged 85 or older, the age group that is most likely to need long term care services, is growing at a dramatic rate.  Providing affordable assisted living to meet this need will have a huge impact on the neighborhood by offering alternative housing options which will allow seniors to live with dignity in facilities close to their current homes, family members and services.  Additionally this alternative will save tax payers money, as the cost of nursing home care extends the cost of proving subsidized housing in the VSH facility.</v>
      </c>
    </row>
    <row r="2805" spans="1:1">
      <c r="A2805" s="748" t="str">
        <f>'Pt IX B-Super Proj Concept Narr'!A15</f>
        <v xml:space="preserve">Unique concept or design / meets an overriding DCA objective - As a developer, owner and manager of independent senior housing, Integral has observed that there is a growing number of seniors who are aging in-place and in need of an affordable assisted living option. Integral has developed 8 independent living senior facilities, and one private pay assisted living facility.  As our residents age and can no longer live independently or afford to be transferred to a private pay facility (typically $3,000 - $5,000 per month in Metro Atlanta), they are forced to lose their independence and many times feel like a burden by either residing with a relative or being admitted to a rehabilitation or nursing home. Therefore, most residents attempt to hide the fact that they can no longer live independently for fear of being forced to choose one of the undesirable alternatives. </v>
      </c>
    </row>
    <row r="2807" spans="1:1">
      <c r="A2807" s="748" t="str">
        <f>'Pt IX B-Super Proj Concept Narr'!A17</f>
        <v xml:space="preserve">This is a terrible decision that we force upon our elderly, but nevertheless, it is their frightening reality. Furthermore, when these seniors are veterans who have sacrificed life and limb for our freedom, it exacerbates the cruelty of this dilemma and highlights the need for making a change.  We believe that this concept is consistent with DCA’s desire to provide vibrant, safe and affordable housing for seniors unless or until they require rehabilitation or nursing home care.  This type of project closes the gap in affordable senior housing presently available. </v>
      </c>
    </row>
    <row r="2809" spans="1:1">
      <c r="A2809" s="748" t="str">
        <f>'Pt IX B-Super Proj Concept Narr'!A19</f>
        <v xml:space="preserve">Urgent need in the community is being met -  Integral’s mission now includes pairing affordable assisted living services with affordable housing for those with low and moderate incomes.  Our initial project to address the absence of affordable assisted living facilities will be a community for veterans only.   
There are over 14,000 seniors who are veterans in DeKalb County where there are no affordable assisted living options.  The only affordable long term care option of scale presently to low income veteran seniors is nursing home care.  Our project will be designed and operated to allow seniors who are income qualified to choose assisted living services.   </v>
      </c>
    </row>
    <row r="2811" spans="1:1">
      <c r="A2811" s="748" t="str">
        <f>'Pt IX B-Super Proj Concept Narr'!A21</f>
        <v>The building will be designed based upon the Lifelong Communities principles of creating a vibrant streetscape, walkable community to the adjacent retails business and other services within a 1-mile radius.  The building will have a commercial kitchen to offer meals for our residents, and other areas such as staff and management offices, resident care room, personal care room, laundry room and medical preparation space.   Also, there will be a van owned by the facility, to facilitate transportation to medical/doctor appointments as well as providing activities for residents outside of the facility.</v>
      </c>
    </row>
    <row r="2813" spans="1:1">
      <c r="A2813" s="748" t="str">
        <f>'Pt IX B-Super Proj Concept Narr'!A23</f>
        <v xml:space="preserve">Substantial community support and involvement – The Dekalb County community (businesses, local government and neighboring residents) has embraced this affordable assisted living concept.  All understand the need to provide affordable assisted living options to our aging populations and many have personal stories of family members or friends in need of such a facility.  This development is cited on an out-parcel to a Wal-Mart Superstore.  Wal-Mart has a veterans focused initiative and supported the project by signing aConsent To Project Development.  The County is providing a $500,000 Home Loan and rezoned the property to support the proposed use.  The surrounding neighbors welcome a facility that provides affordable assisted living to the senior citizens of Dekalb County and applaud the focus on housing military veterans. </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A192" sqref="A1:XFD1048576"/>
    </sheetView>
  </sheetViews>
  <sheetFormatPr defaultRowHeight="12.75"/>
  <cols>
    <col min="1" max="1" width="88.42578125" style="31" customWidth="1"/>
    <col min="2" max="16384" width="9.140625" style="31"/>
  </cols>
  <sheetData>
    <row r="1" spans="1:6" ht="15.75">
      <c r="A1" s="788" t="s">
        <v>1590</v>
      </c>
    </row>
    <row r="2" spans="1:6" ht="16.5">
      <c r="A2" s="789" t="str">
        <f>'Part I-Project Information'!F22</f>
        <v>Veteran Senior Housing - Assisted Living</v>
      </c>
    </row>
    <row r="3" spans="1:6" ht="16.5">
      <c r="A3" s="789" t="str">
        <f>CONCATENATE('Part I-Project Information'!F24,", ", 'Part I-Project Information'!J25," County")</f>
        <v>Decatur, DeKalb County</v>
      </c>
    </row>
    <row r="4" spans="1:6" ht="12" customHeight="1"/>
    <row r="5" spans="1:6" ht="111" customHeight="1">
      <c r="A5" s="790" t="s">
        <v>4009</v>
      </c>
      <c r="B5" s="950" t="s">
        <v>1591</v>
      </c>
      <c r="C5" s="950"/>
      <c r="D5" s="950"/>
      <c r="E5" s="950"/>
      <c r="F5" s="950"/>
    </row>
    <row r="6" spans="1:6" ht="6.6" customHeight="1">
      <c r="A6" s="791"/>
      <c r="B6" s="950"/>
      <c r="C6" s="950"/>
      <c r="D6" s="950"/>
      <c r="E6" s="950"/>
      <c r="F6" s="950"/>
    </row>
    <row r="7" spans="1:6" ht="111" customHeight="1">
      <c r="A7" s="790" t="s">
        <v>4073</v>
      </c>
    </row>
    <row r="8" spans="1:6" ht="6.6" customHeight="1">
      <c r="A8" s="791"/>
    </row>
    <row r="9" spans="1:6" ht="117.75" customHeight="1">
      <c r="A9" s="790" t="s">
        <v>4025</v>
      </c>
    </row>
    <row r="10" spans="1:6" ht="6.6" customHeight="1">
      <c r="A10" s="791"/>
    </row>
    <row r="11" spans="1:6" ht="115.5" customHeight="1">
      <c r="A11" s="790" t="s">
        <v>4074</v>
      </c>
    </row>
    <row r="12" spans="1:6" ht="6.6" customHeight="1">
      <c r="A12" s="791"/>
    </row>
    <row r="13" spans="1:6" ht="111" customHeight="1">
      <c r="A13" s="790" t="s">
        <v>4026</v>
      </c>
    </row>
    <row r="14" spans="1:6" ht="6.6" customHeight="1">
      <c r="A14" s="791"/>
    </row>
    <row r="15" spans="1:6" ht="111" customHeight="1">
      <c r="A15" s="790" t="s">
        <v>4027</v>
      </c>
    </row>
    <row r="16" spans="1:6" ht="6.6" customHeight="1">
      <c r="A16" s="791"/>
    </row>
    <row r="17" spans="1:1" ht="111" customHeight="1">
      <c r="A17" s="790" t="s">
        <v>4028</v>
      </c>
    </row>
    <row r="18" spans="1:1" ht="6.6" customHeight="1">
      <c r="A18" s="791"/>
    </row>
    <row r="19" spans="1:1" ht="111" customHeight="1">
      <c r="A19" s="790" t="s">
        <v>4010</v>
      </c>
    </row>
    <row r="20" spans="1:1" ht="6.6" customHeight="1">
      <c r="A20" s="791"/>
    </row>
    <row r="21" spans="1:1" ht="116.25" customHeight="1">
      <c r="A21" s="790" t="s">
        <v>4029</v>
      </c>
    </row>
    <row r="22" spans="1:1" ht="6.6" customHeight="1">
      <c r="A22" s="791"/>
    </row>
    <row r="23" spans="1:1" ht="111" customHeight="1">
      <c r="A23" s="790" t="s">
        <v>4032</v>
      </c>
    </row>
    <row r="24" spans="1:1" ht="6.6" customHeight="1">
      <c r="A24" s="791"/>
    </row>
    <row r="25" spans="1:1" ht="111" customHeight="1">
      <c r="A25" s="790" t="s">
        <v>4030</v>
      </c>
    </row>
    <row r="26" spans="1:1" ht="6.6" customHeight="1">
      <c r="A26" s="791"/>
    </row>
    <row r="27" spans="1:1" ht="111" customHeight="1">
      <c r="A27" s="790" t="s">
        <v>4031</v>
      </c>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A192" sqref="A1:XFD1048576"/>
    </sheetView>
  </sheetViews>
  <sheetFormatPr defaultColWidth="9.140625" defaultRowHeight="12" customHeight="1"/>
  <cols>
    <col min="1" max="1" width="3.28515625" style="482" customWidth="1"/>
    <col min="2" max="2" width="2.28515625" style="506" customWidth="1"/>
    <col min="3" max="7" width="8.85546875" style="482" customWidth="1"/>
    <col min="8" max="8" width="11.7109375" style="482" customWidth="1"/>
    <col min="9" max="16" width="8.85546875" style="482" customWidth="1"/>
    <col min="17" max="16384" width="9.140625" style="482"/>
  </cols>
  <sheetData>
    <row r="1" spans="1:16" s="458" customFormat="1" ht="13.9" customHeight="1">
      <c r="A1" s="986" t="str">
        <f>CONCATENATE("PART ONE - PROJECT INFORMATION"," - ",$O$4," ",$F$22,", ",'Part I-Project Information'!F24,", ",'Part I-Project Information'!J25," County")</f>
        <v>PART ONE - PROJECT INFORMATION - 2011-012 Veteran Senior Housing - Assisted Living, Decatur, DeKalb County</v>
      </c>
      <c r="B1" s="987"/>
      <c r="C1" s="987"/>
      <c r="D1" s="987"/>
      <c r="E1" s="987"/>
      <c r="F1" s="987"/>
      <c r="G1" s="987"/>
      <c r="H1" s="987"/>
      <c r="I1" s="987"/>
      <c r="J1" s="987"/>
      <c r="K1" s="987"/>
      <c r="L1" s="987"/>
      <c r="M1" s="987"/>
      <c r="N1" s="987"/>
      <c r="O1" s="987"/>
      <c r="P1" s="988"/>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653</v>
      </c>
      <c r="L3" s="459"/>
      <c r="M3" s="1002" t="s">
        <v>2729</v>
      </c>
      <c r="N3" s="1002"/>
      <c r="O3" s="1002"/>
      <c r="P3" s="1002"/>
    </row>
    <row r="4" spans="1:16" s="458" customFormat="1" ht="12" customHeight="1" thickBot="1">
      <c r="A4" s="733"/>
      <c r="B4" s="461"/>
      <c r="C4" s="461"/>
      <c r="D4" s="462"/>
      <c r="E4" s="401" t="s">
        <v>654</v>
      </c>
      <c r="H4" s="723"/>
      <c r="I4" s="723"/>
      <c r="J4" s="723"/>
      <c r="M4" s="723"/>
      <c r="O4" s="990" t="s">
        <v>4076</v>
      </c>
      <c r="P4" s="991"/>
    </row>
    <row r="5" spans="1:16" s="458" customFormat="1" ht="12" customHeight="1">
      <c r="A5" s="733"/>
      <c r="B5" s="461"/>
      <c r="C5" s="461"/>
      <c r="D5" s="461"/>
      <c r="E5" s="723"/>
      <c r="H5" s="723"/>
      <c r="I5" s="723"/>
      <c r="J5" s="723"/>
      <c r="K5" s="395"/>
      <c r="M5" s="723"/>
    </row>
    <row r="6" spans="1:16" s="458" customFormat="1" ht="13.15" customHeight="1">
      <c r="A6" s="461" t="s">
        <v>950</v>
      </c>
      <c r="C6" s="461" t="s">
        <v>3590</v>
      </c>
      <c r="D6" s="418"/>
      <c r="E6" s="463"/>
      <c r="F6" s="464" t="s">
        <v>2740</v>
      </c>
      <c r="J6" s="1005">
        <f>'Part IV-Uses of Funds'!J165</f>
        <v>709882</v>
      </c>
      <c r="K6" s="1006"/>
    </row>
    <row r="7" spans="1:16" s="2" customFormat="1" ht="13.15" customHeight="1">
      <c r="A7" s="5"/>
      <c r="C7" s="5"/>
      <c r="D7" s="31"/>
      <c r="E7" s="563"/>
      <c r="F7" s="458" t="s">
        <v>1982</v>
      </c>
      <c r="J7" s="1038">
        <f>'Part III A-Sources of Funds'!J5</f>
        <v>0</v>
      </c>
      <c r="K7" s="1039"/>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3132</v>
      </c>
      <c r="F9" s="999" t="s">
        <v>3920</v>
      </c>
      <c r="G9" s="1000"/>
      <c r="H9" s="1001"/>
      <c r="I9" s="896" t="s">
        <v>1230</v>
      </c>
      <c r="J9" s="971"/>
      <c r="K9" s="977"/>
      <c r="L9" s="977"/>
      <c r="M9" s="977"/>
      <c r="N9" s="977"/>
      <c r="O9" s="977"/>
      <c r="P9" s="978"/>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971" t="s">
        <v>3969</v>
      </c>
      <c r="G13" s="977"/>
      <c r="H13" s="977"/>
      <c r="I13" s="977"/>
      <c r="J13" s="977"/>
      <c r="K13" s="977"/>
      <c r="L13" s="978"/>
      <c r="M13" s="713" t="s">
        <v>3057</v>
      </c>
      <c r="N13" s="971" t="s">
        <v>3922</v>
      </c>
      <c r="O13" s="977"/>
      <c r="P13" s="978"/>
    </row>
    <row r="14" spans="1:16" s="458" customFormat="1" ht="13.15" customHeight="1">
      <c r="C14" s="464" t="s">
        <v>3058</v>
      </c>
      <c r="F14" s="971" t="s">
        <v>3923</v>
      </c>
      <c r="G14" s="977"/>
      <c r="H14" s="977"/>
      <c r="I14" s="977"/>
      <c r="J14" s="977"/>
      <c r="K14" s="977"/>
      <c r="L14" s="978"/>
      <c r="M14" s="713" t="s">
        <v>2746</v>
      </c>
      <c r="O14" s="1003">
        <v>4042241882</v>
      </c>
      <c r="P14" s="1004"/>
    </row>
    <row r="15" spans="1:16" s="458" customFormat="1" ht="13.15" customHeight="1">
      <c r="C15" s="464" t="s">
        <v>953</v>
      </c>
      <c r="F15" s="996" t="s">
        <v>1866</v>
      </c>
      <c r="G15" s="997"/>
      <c r="H15" s="998"/>
      <c r="M15" s="713" t="s">
        <v>2833</v>
      </c>
      <c r="O15" s="968">
        <v>4042241899</v>
      </c>
      <c r="P15" s="970"/>
    </row>
    <row r="16" spans="1:16" s="458" customFormat="1" ht="13.15" customHeight="1">
      <c r="C16" s="464" t="s">
        <v>2830</v>
      </c>
      <c r="F16" s="897" t="s">
        <v>1438</v>
      </c>
      <c r="I16" s="723" t="s">
        <v>3354</v>
      </c>
      <c r="J16" s="985">
        <v>303030000</v>
      </c>
      <c r="K16" s="993"/>
      <c r="M16" s="713" t="s">
        <v>3056</v>
      </c>
      <c r="O16" s="968"/>
      <c r="P16" s="970"/>
    </row>
    <row r="17" spans="1:16" s="458" customFormat="1" ht="13.15" customHeight="1">
      <c r="B17" s="721"/>
      <c r="C17" s="464" t="s">
        <v>2745</v>
      </c>
      <c r="F17" s="968">
        <v>4042241860</v>
      </c>
      <c r="G17" s="969"/>
      <c r="H17" s="970"/>
      <c r="I17" s="717" t="s">
        <v>2744</v>
      </c>
      <c r="J17" s="880">
        <v>1882</v>
      </c>
      <c r="K17" s="723" t="s">
        <v>3061</v>
      </c>
      <c r="L17" s="971" t="s">
        <v>3924</v>
      </c>
      <c r="M17" s="977"/>
      <c r="N17" s="977"/>
      <c r="O17" s="977"/>
      <c r="P17" s="978"/>
    </row>
    <row r="18" spans="1:16" s="458" customFormat="1" ht="13.15" customHeight="1">
      <c r="A18" s="461"/>
      <c r="B18" s="463"/>
      <c r="C18" s="441" t="s">
        <v>997</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975" t="s">
        <v>3925</v>
      </c>
      <c r="G22" s="992"/>
      <c r="H22" s="992"/>
      <c r="I22" s="992"/>
      <c r="J22" s="992"/>
      <c r="K22" s="992"/>
      <c r="L22" s="976"/>
      <c r="M22" s="713" t="s">
        <v>3300</v>
      </c>
      <c r="O22" s="971" t="s">
        <v>3926</v>
      </c>
      <c r="P22" s="978"/>
    </row>
    <row r="23" spans="1:16" s="458" customFormat="1" ht="13.15" customHeight="1">
      <c r="A23" s="471"/>
      <c r="B23" s="461"/>
      <c r="C23" s="458" t="s">
        <v>952</v>
      </c>
      <c r="D23" s="472"/>
      <c r="F23" s="971" t="s">
        <v>3927</v>
      </c>
      <c r="G23" s="977"/>
      <c r="H23" s="977"/>
      <c r="I23" s="977"/>
      <c r="J23" s="977"/>
      <c r="K23" s="977"/>
      <c r="L23" s="978"/>
      <c r="M23" s="713" t="s">
        <v>3146</v>
      </c>
      <c r="O23" s="971" t="s">
        <v>3926</v>
      </c>
      <c r="P23" s="978"/>
    </row>
    <row r="24" spans="1:16" s="458" customFormat="1" ht="13.15" customHeight="1">
      <c r="A24" s="733"/>
      <c r="B24" s="461"/>
      <c r="C24" s="458" t="s">
        <v>953</v>
      </c>
      <c r="F24" s="971" t="s">
        <v>254</v>
      </c>
      <c r="G24" s="977"/>
      <c r="H24" s="978"/>
      <c r="I24" s="723" t="s">
        <v>445</v>
      </c>
      <c r="J24" s="985">
        <v>300320000</v>
      </c>
      <c r="K24" s="993"/>
      <c r="L24" s="550" t="str">
        <f>IF(AND(NOT(F22=""),NOT(F24="Select from list"),J24=""),"Enter Zip!","")</f>
        <v/>
      </c>
      <c r="M24" s="713" t="s">
        <v>3416</v>
      </c>
      <c r="O24" s="971">
        <v>1.32</v>
      </c>
      <c r="P24" s="978"/>
    </row>
    <row r="25" spans="1:16" s="458" customFormat="1" ht="13.15" customHeight="1">
      <c r="A25" s="733"/>
      <c r="B25" s="461"/>
      <c r="C25" s="967" t="s">
        <v>3145</v>
      </c>
      <c r="D25" s="967"/>
      <c r="F25" s="898" t="s">
        <v>3926</v>
      </c>
      <c r="I25" s="504" t="s">
        <v>954</v>
      </c>
      <c r="J25" s="994" t="str">
        <f>IF($F$24="","",VLOOKUP($F$24,$N$183:$O$786,2,FALSE))</f>
        <v>DeKalb</v>
      </c>
      <c r="K25" s="995"/>
      <c r="M25" s="474" t="s">
        <v>3435</v>
      </c>
      <c r="O25" s="971">
        <v>231.02</v>
      </c>
      <c r="P25" s="1042"/>
    </row>
    <row r="26" spans="1:16" s="458" customFormat="1" ht="13.15" customHeight="1">
      <c r="A26" s="733"/>
      <c r="B26" s="461"/>
      <c r="C26" s="458" t="s">
        <v>2313</v>
      </c>
      <c r="F26" s="899" t="s">
        <v>3926</v>
      </c>
      <c r="G26" s="475"/>
      <c r="I26" s="466" t="s">
        <v>885</v>
      </c>
      <c r="J26" s="1043" t="str">
        <f>IF($F$24="","",VLOOKUP($J$25,$C$183:$H$342,3,FALSE))</f>
        <v>Atlanta-Sandy Springs-Marietta</v>
      </c>
      <c r="K26" s="1044"/>
      <c r="L26" s="1045"/>
      <c r="M26" s="713" t="s">
        <v>665</v>
      </c>
      <c r="N26" s="900" t="s">
        <v>3926</v>
      </c>
      <c r="O26" s="466" t="s">
        <v>666</v>
      </c>
      <c r="P26" s="900" t="s">
        <v>3926</v>
      </c>
    </row>
    <row r="27" spans="1:16" s="458" customFormat="1" ht="3" customHeight="1">
      <c r="A27" s="733"/>
      <c r="B27" s="461"/>
      <c r="C27" s="461"/>
      <c r="I27" s="464"/>
      <c r="J27" s="721"/>
      <c r="L27" s="732"/>
      <c r="M27" s="732"/>
      <c r="N27" s="732"/>
      <c r="O27" s="732"/>
      <c r="P27" s="732"/>
    </row>
    <row r="28" spans="1:16" s="458" customFormat="1" ht="13.15" customHeight="1">
      <c r="A28" s="733"/>
      <c r="B28" s="461"/>
      <c r="F28" s="989" t="s">
        <v>446</v>
      </c>
      <c r="G28" s="989"/>
      <c r="H28" s="989" t="s">
        <v>1225</v>
      </c>
      <c r="I28" s="989"/>
      <c r="J28" s="989" t="s">
        <v>1226</v>
      </c>
      <c r="K28" s="989"/>
      <c r="L28" s="468"/>
    </row>
    <row r="29" spans="1:16" s="458" customFormat="1" ht="13.15" customHeight="1">
      <c r="A29" s="733"/>
      <c r="B29" s="461"/>
      <c r="C29" s="458" t="s">
        <v>955</v>
      </c>
      <c r="D29" s="461"/>
      <c r="F29" s="1046">
        <v>4</v>
      </c>
      <c r="G29" s="1047"/>
      <c r="H29" s="1046">
        <v>55</v>
      </c>
      <c r="I29" s="1047"/>
      <c r="J29" s="1046">
        <v>85</v>
      </c>
      <c r="K29" s="1047"/>
    </row>
    <row r="30" spans="1:16" s="458" customFormat="1" ht="13.15" customHeight="1">
      <c r="A30" s="733"/>
      <c r="B30" s="461"/>
      <c r="C30" s="464" t="s">
        <v>1227</v>
      </c>
      <c r="F30" s="1046"/>
      <c r="G30" s="1047"/>
      <c r="H30" s="1046"/>
      <c r="I30" s="1047"/>
      <c r="J30" s="1046"/>
      <c r="K30" s="1047"/>
    </row>
    <row r="31" spans="1:16" s="458" customFormat="1" ht="3" customHeight="1">
      <c r="A31" s="733"/>
      <c r="B31" s="461"/>
      <c r="I31" s="732"/>
      <c r="J31" s="732"/>
      <c r="K31" s="732"/>
      <c r="M31" s="721"/>
      <c r="N31" s="721"/>
      <c r="O31" s="721"/>
      <c r="P31" s="721"/>
    </row>
    <row r="32" spans="1:16" s="458" customFormat="1" ht="13.15" customHeight="1">
      <c r="A32" s="733"/>
      <c r="B32" s="733"/>
      <c r="C32" s="461" t="s">
        <v>973</v>
      </c>
      <c r="F32" s="961" t="s">
        <v>3968</v>
      </c>
      <c r="G32" s="962"/>
      <c r="H32" s="962"/>
      <c r="I32" s="962"/>
      <c r="J32" s="962"/>
      <c r="K32" s="963"/>
      <c r="L32" s="476"/>
      <c r="M32" s="476"/>
      <c r="N32" s="476"/>
    </row>
    <row r="33" spans="1:19" s="458" customFormat="1" ht="13.15" customHeight="1">
      <c r="A33" s="733"/>
      <c r="B33" s="733"/>
      <c r="C33" s="458" t="s">
        <v>974</v>
      </c>
      <c r="F33" s="1048" t="s">
        <v>3930</v>
      </c>
      <c r="G33" s="1049"/>
      <c r="H33" s="1049"/>
      <c r="I33" s="1049"/>
      <c r="J33" s="1050"/>
      <c r="K33" s="477" t="s">
        <v>3057</v>
      </c>
      <c r="L33" s="961" t="s">
        <v>3931</v>
      </c>
      <c r="M33" s="962"/>
      <c r="N33" s="963"/>
    </row>
    <row r="34" spans="1:19" s="458" customFormat="1" ht="13.15" customHeight="1">
      <c r="A34" s="733"/>
      <c r="B34" s="733"/>
      <c r="C34" s="458" t="s">
        <v>3058</v>
      </c>
      <c r="F34" s="961" t="s">
        <v>3932</v>
      </c>
      <c r="G34" s="962"/>
      <c r="H34" s="962"/>
      <c r="I34" s="962"/>
      <c r="J34" s="963"/>
      <c r="K34" s="478" t="s">
        <v>953</v>
      </c>
      <c r="L34" s="971" t="s">
        <v>254</v>
      </c>
      <c r="M34" s="977"/>
      <c r="N34" s="978"/>
    </row>
    <row r="35" spans="1:19" s="458" customFormat="1" ht="13.15" customHeight="1">
      <c r="A35" s="733"/>
      <c r="B35" s="733"/>
      <c r="C35" s="713" t="s">
        <v>3354</v>
      </c>
      <c r="F35" s="1051">
        <v>300300000</v>
      </c>
      <c r="G35" s="1052"/>
      <c r="H35" s="717" t="s">
        <v>3059</v>
      </c>
      <c r="I35" s="974">
        <v>4043712881</v>
      </c>
      <c r="J35" s="981"/>
      <c r="K35" s="982"/>
      <c r="L35" s="717" t="s">
        <v>2833</v>
      </c>
      <c r="M35" s="974">
        <v>4043716291</v>
      </c>
      <c r="N35" s="982"/>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3060</v>
      </c>
      <c r="C39" s="461" t="s">
        <v>3437</v>
      </c>
      <c r="F39" s="880" t="s">
        <v>3926</v>
      </c>
      <c r="J39" s="605" t="s">
        <v>1971</v>
      </c>
      <c r="K39" s="721"/>
      <c r="L39" s="1037" t="s">
        <v>1972</v>
      </c>
      <c r="M39" s="1037"/>
      <c r="N39" s="1037"/>
      <c r="O39" s="1037"/>
      <c r="P39" s="606"/>
    </row>
    <row r="40" spans="1:19" s="458" customFormat="1" ht="3" customHeight="1">
      <c r="A40" s="733"/>
      <c r="J40" s="605"/>
      <c r="K40" s="732"/>
      <c r="L40" s="721"/>
      <c r="M40" s="732"/>
      <c r="N40" s="732"/>
      <c r="O40" s="732"/>
      <c r="P40" s="607"/>
    </row>
    <row r="41" spans="1:19" s="458" customFormat="1" ht="13.15" customHeight="1">
      <c r="A41" s="733"/>
      <c r="B41" s="733" t="s">
        <v>3063</v>
      </c>
      <c r="C41" s="461" t="s">
        <v>1083</v>
      </c>
      <c r="J41" s="608" t="s">
        <v>1975</v>
      </c>
      <c r="K41" s="609"/>
      <c r="L41" s="1040" t="s">
        <v>1970</v>
      </c>
      <c r="M41" s="1040"/>
      <c r="N41" s="1040"/>
      <c r="O41" s="1040"/>
      <c r="P41" s="1041"/>
      <c r="Q41" s="723"/>
    </row>
    <row r="42" spans="1:19" ht="13.15" customHeight="1">
      <c r="B42" s="733"/>
      <c r="C42" s="458" t="s">
        <v>3436</v>
      </c>
      <c r="D42" s="458"/>
      <c r="E42" s="458"/>
      <c r="F42" s="483">
        <f>'Part VI-Revenues &amp; Expenses'!$M$75</f>
        <v>60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0</v>
      </c>
      <c r="G44" s="458" t="s">
        <v>444</v>
      </c>
      <c r="L44" s="901"/>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1238</v>
      </c>
      <c r="C48" s="470" t="s">
        <v>3408</v>
      </c>
      <c r="D48" s="721"/>
      <c r="I48" s="983" t="s">
        <v>2130</v>
      </c>
      <c r="J48" s="471" t="s">
        <v>3212</v>
      </c>
      <c r="K48" s="485" t="s">
        <v>3443</v>
      </c>
      <c r="M48" s="721"/>
      <c r="N48" s="721"/>
      <c r="O48" s="721"/>
      <c r="P48" s="723"/>
      <c r="Q48" s="723"/>
      <c r="R48" s="723"/>
      <c r="S48" s="721"/>
    </row>
    <row r="49" spans="1:16" s="458" customFormat="1" ht="13.15" customHeight="1">
      <c r="A49" s="733"/>
      <c r="B49" s="715"/>
      <c r="C49" s="468" t="s">
        <v>3409</v>
      </c>
      <c r="D49" s="721"/>
      <c r="E49" s="721"/>
      <c r="H49" s="486">
        <f>SUM(H50:H51)</f>
        <v>60</v>
      </c>
      <c r="I49" s="984"/>
      <c r="J49" s="733"/>
      <c r="K49" s="468" t="s">
        <v>3444</v>
      </c>
      <c r="M49" s="721"/>
      <c r="N49" s="721"/>
      <c r="O49" s="721"/>
      <c r="P49" s="486">
        <f>'Part VI-Revenues &amp; Expenses'!$M$94</f>
        <v>39000</v>
      </c>
    </row>
    <row r="50" spans="1:16" s="458" customFormat="1" ht="13.15" customHeight="1">
      <c r="A50" s="733"/>
      <c r="B50" s="482"/>
      <c r="D50" s="487" t="s">
        <v>489</v>
      </c>
      <c r="E50" s="487"/>
      <c r="H50" s="486">
        <f>'Part VI-Revenues &amp; Expenses'!$M$58</f>
        <v>12</v>
      </c>
      <c r="I50" s="486">
        <f>'Part VI-Revenues &amp; Expenses'!$M$66</f>
        <v>0</v>
      </c>
      <c r="K50" s="468" t="s">
        <v>326</v>
      </c>
      <c r="M50" s="721"/>
      <c r="N50" s="721"/>
      <c r="O50" s="721"/>
      <c r="P50" s="486">
        <f>'Part VI-Revenues &amp; Expenses'!$M$95</f>
        <v>0</v>
      </c>
    </row>
    <row r="51" spans="1:16" s="458" customFormat="1" ht="13.15" customHeight="1">
      <c r="A51" s="733"/>
      <c r="D51" s="487" t="s">
        <v>2863</v>
      </c>
      <c r="E51" s="487"/>
      <c r="H51" s="486">
        <f>'Part VI-Revenues &amp; Expenses'!$M$57</f>
        <v>48</v>
      </c>
      <c r="I51" s="486">
        <f>'Part VI-Revenues &amp; Expenses'!$M$65</f>
        <v>0</v>
      </c>
      <c r="K51" s="468" t="s">
        <v>3445</v>
      </c>
      <c r="M51" s="721"/>
      <c r="N51" s="721"/>
      <c r="O51" s="721"/>
      <c r="P51" s="486">
        <f>+P49+P50</f>
        <v>39000</v>
      </c>
    </row>
    <row r="52" spans="1:16" s="458" customFormat="1" ht="13.15" customHeight="1">
      <c r="A52" s="733"/>
      <c r="C52" s="468" t="s">
        <v>327</v>
      </c>
      <c r="D52" s="721"/>
      <c r="E52" s="721"/>
      <c r="H52" s="486">
        <f>'Part VI-Revenues &amp; Expenses'!$M$60</f>
        <v>0</v>
      </c>
      <c r="J52" s="733"/>
      <c r="K52" s="468" t="s">
        <v>2133</v>
      </c>
      <c r="M52" s="721"/>
      <c r="N52" s="721"/>
      <c r="O52" s="721"/>
      <c r="P52" s="486">
        <f>'Part VI-Revenues &amp; Expenses'!$M$97</f>
        <v>0</v>
      </c>
    </row>
    <row r="53" spans="1:16" s="458" customFormat="1" ht="13.15" customHeight="1">
      <c r="A53" s="733"/>
      <c r="C53" s="468" t="s">
        <v>3650</v>
      </c>
      <c r="D53" s="721"/>
      <c r="E53" s="721"/>
      <c r="H53" s="486">
        <f>+H49+H52</f>
        <v>60</v>
      </c>
      <c r="J53" s="733"/>
      <c r="K53" s="468" t="s">
        <v>2132</v>
      </c>
      <c r="M53" s="721"/>
      <c r="N53" s="721"/>
      <c r="O53" s="721"/>
      <c r="P53" s="486">
        <f>+P51+P52</f>
        <v>39000</v>
      </c>
    </row>
    <row r="54" spans="1:16" s="458" customFormat="1" ht="13.15" customHeight="1">
      <c r="A54" s="733"/>
      <c r="C54" s="468" t="s">
        <v>3651</v>
      </c>
      <c r="D54" s="721"/>
      <c r="E54" s="721"/>
      <c r="H54" s="486">
        <f>'Part VI-Revenues &amp; Expenses'!$M$62</f>
        <v>0</v>
      </c>
      <c r="J54" s="733"/>
    </row>
    <row r="55" spans="1:16" s="458" customFormat="1" ht="13.15" customHeight="1">
      <c r="A55" s="733"/>
      <c r="C55" s="468" t="s">
        <v>2824</v>
      </c>
      <c r="D55" s="721"/>
      <c r="E55" s="721"/>
      <c r="H55" s="486">
        <f>+H53+H54</f>
        <v>60</v>
      </c>
      <c r="J55" s="721"/>
    </row>
    <row r="56" spans="1:16" s="458" customFormat="1" ht="3" customHeight="1">
      <c r="A56" s="733"/>
      <c r="I56" s="723"/>
      <c r="L56" s="723"/>
      <c r="M56" s="723"/>
      <c r="N56" s="721"/>
      <c r="P56" s="469"/>
    </row>
    <row r="57" spans="1:16" s="458" customFormat="1" ht="13.15" customHeight="1">
      <c r="A57" s="733"/>
      <c r="B57" s="733" t="s">
        <v>2762</v>
      </c>
      <c r="C57" s="470" t="s">
        <v>3438</v>
      </c>
      <c r="D57" s="487" t="s">
        <v>3074</v>
      </c>
      <c r="G57" s="721"/>
      <c r="H57" s="902">
        <v>1</v>
      </c>
      <c r="K57" s="468" t="s">
        <v>1759</v>
      </c>
      <c r="O57" s="721"/>
      <c r="P57" s="902">
        <v>10000</v>
      </c>
    </row>
    <row r="58" spans="1:16" s="458" customFormat="1" ht="13.15" customHeight="1">
      <c r="A58" s="733"/>
      <c r="B58" s="733"/>
      <c r="D58" s="715" t="s">
        <v>3075</v>
      </c>
      <c r="H58" s="902">
        <v>0</v>
      </c>
      <c r="I58" s="721"/>
      <c r="K58" s="468" t="s">
        <v>325</v>
      </c>
      <c r="O58" s="721"/>
      <c r="P58" s="486">
        <f>+P53+P57</f>
        <v>49000</v>
      </c>
    </row>
    <row r="59" spans="1:16" s="458" customFormat="1" ht="13.15" customHeight="1">
      <c r="A59" s="733"/>
      <c r="B59" s="733"/>
      <c r="D59" s="715" t="s">
        <v>3076</v>
      </c>
      <c r="H59" s="486">
        <f>+H57+H58</f>
        <v>1</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2763</v>
      </c>
      <c r="C61" s="470" t="s">
        <v>1084</v>
      </c>
      <c r="D61" s="721"/>
      <c r="E61" s="721"/>
      <c r="F61" s="721"/>
      <c r="G61" s="721"/>
      <c r="H61" s="902">
        <v>25</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822</v>
      </c>
      <c r="C63" s="488" t="s">
        <v>1836</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3060</v>
      </c>
      <c r="C65" s="395" t="s">
        <v>2272</v>
      </c>
      <c r="D65" s="716"/>
      <c r="E65" s="716"/>
      <c r="F65" s="721"/>
      <c r="G65" s="723"/>
      <c r="H65" s="979" t="s">
        <v>3933</v>
      </c>
      <c r="I65" s="980"/>
      <c r="K65" s="967" t="s">
        <v>2801</v>
      </c>
      <c r="L65" s="967"/>
      <c r="N65" s="971"/>
      <c r="O65" s="977"/>
      <c r="P65" s="978"/>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3063</v>
      </c>
      <c r="C67" s="470" t="s">
        <v>2121</v>
      </c>
      <c r="D67" s="721"/>
      <c r="E67" s="487"/>
      <c r="G67" s="489" t="s">
        <v>1378</v>
      </c>
      <c r="H67" s="902">
        <v>3</v>
      </c>
      <c r="K67" s="967" t="s">
        <v>812</v>
      </c>
      <c r="L67" s="967"/>
      <c r="P67" s="490">
        <f>IF('Part VI-Revenues &amp; Expenses'!$M$63=0,0,$H67/'Part VI-Revenues &amp; Expenses'!$M$63)</f>
        <v>0.05</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1238</v>
      </c>
      <c r="C69" s="470" t="s">
        <v>2891</v>
      </c>
      <c r="D69" s="487"/>
      <c r="E69" s="487"/>
      <c r="G69" s="489" t="s">
        <v>1378</v>
      </c>
      <c r="H69" s="902">
        <v>2</v>
      </c>
      <c r="K69" s="967" t="s">
        <v>812</v>
      </c>
      <c r="L69" s="967"/>
      <c r="P69" s="490">
        <f>IF('Part VI-Revenues &amp; Expenses'!$M$63=0,0,$H69/'Part VI-Revenues &amp; Expenses'!$M$63)</f>
        <v>3.3333333333333333E-2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3212</v>
      </c>
      <c r="C71" s="470" t="s">
        <v>1977</v>
      </c>
      <c r="D71" s="487"/>
      <c r="E71" s="487"/>
      <c r="G71" s="489" t="s">
        <v>1978</v>
      </c>
      <c r="H71" s="902">
        <v>0</v>
      </c>
      <c r="K71" s="967" t="s">
        <v>812</v>
      </c>
      <c r="L71" s="967"/>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1347</v>
      </c>
      <c r="B73" s="733"/>
      <c r="C73" s="716" t="s">
        <v>3592</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3060</v>
      </c>
      <c r="C75" s="395" t="s">
        <v>3591</v>
      </c>
      <c r="D75" s="715"/>
      <c r="E75" s="715"/>
      <c r="F75" s="715"/>
      <c r="H75" s="964" t="s">
        <v>1460</v>
      </c>
      <c r="I75" s="965"/>
      <c r="J75" s="966"/>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3063</v>
      </c>
      <c r="C77" s="461" t="s">
        <v>2285</v>
      </c>
      <c r="K77" s="464" t="s">
        <v>1459</v>
      </c>
      <c r="N77" s="492"/>
      <c r="P77" s="880" t="s">
        <v>3928</v>
      </c>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3133</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880"/>
      <c r="F81" s="487" t="s">
        <v>3914</v>
      </c>
      <c r="H81" s="880"/>
      <c r="I81" s="713" t="s">
        <v>3913</v>
      </c>
      <c r="K81" s="880"/>
      <c r="L81" s="458" t="s">
        <v>144</v>
      </c>
    </row>
    <row r="82" spans="1:16" s="458" customFormat="1" ht="13.15" customHeight="1">
      <c r="A82" s="733"/>
      <c r="B82" s="733"/>
      <c r="D82" s="480"/>
      <c r="E82" s="880"/>
      <c r="F82" s="713" t="s">
        <v>650</v>
      </c>
      <c r="H82" s="880"/>
      <c r="I82" s="715" t="s">
        <v>3233</v>
      </c>
      <c r="K82" s="880"/>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1834</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847</v>
      </c>
      <c r="D86" s="721"/>
      <c r="E86" s="971"/>
      <c r="F86" s="977"/>
      <c r="G86" s="977"/>
      <c r="H86" s="977"/>
      <c r="I86" s="977"/>
      <c r="J86" s="977"/>
      <c r="K86" s="977"/>
      <c r="L86" s="978"/>
      <c r="M86" s="1030" t="s">
        <v>848</v>
      </c>
      <c r="N86" s="1030"/>
      <c r="O86" s="1010"/>
      <c r="P86" s="1011"/>
    </row>
    <row r="87" spans="1:16" s="458" customFormat="1" ht="13.15" customHeight="1">
      <c r="C87" s="464" t="s">
        <v>1641</v>
      </c>
      <c r="D87" s="472"/>
      <c r="E87" s="971"/>
      <c r="F87" s="977"/>
      <c r="G87" s="977"/>
      <c r="H87" s="977"/>
      <c r="I87" s="977"/>
      <c r="J87" s="977"/>
      <c r="K87" s="977"/>
      <c r="L87" s="978"/>
      <c r="M87" s="1030" t="s">
        <v>1390</v>
      </c>
      <c r="N87" s="1030"/>
      <c r="O87" s="975"/>
      <c r="P87" s="976"/>
    </row>
    <row r="88" spans="1:16" s="458" customFormat="1" ht="13.15" customHeight="1">
      <c r="C88" s="464" t="s">
        <v>953</v>
      </c>
      <c r="E88" s="971"/>
      <c r="F88" s="972"/>
      <c r="G88" s="973"/>
      <c r="H88" s="717" t="s">
        <v>2830</v>
      </c>
      <c r="I88" s="880"/>
      <c r="J88" s="493" t="s">
        <v>3354</v>
      </c>
      <c r="K88" s="985"/>
      <c r="L88" s="973"/>
      <c r="M88" s="418"/>
      <c r="N88" s="418"/>
      <c r="O88" s="418"/>
      <c r="P88" s="418"/>
    </row>
    <row r="89" spans="1:16" s="458" customFormat="1" ht="13.15" customHeight="1">
      <c r="C89" s="458" t="s">
        <v>3302</v>
      </c>
      <c r="E89" s="971"/>
      <c r="F89" s="972"/>
      <c r="G89" s="973"/>
      <c r="H89" s="723" t="s">
        <v>3057</v>
      </c>
      <c r="I89" s="971"/>
      <c r="J89" s="972"/>
      <c r="K89" s="973"/>
      <c r="L89" s="735" t="s">
        <v>3061</v>
      </c>
      <c r="M89" s="971"/>
      <c r="N89" s="972"/>
      <c r="O89" s="972"/>
      <c r="P89" s="973"/>
    </row>
    <row r="90" spans="1:16" s="458" customFormat="1" ht="13.15" customHeight="1">
      <c r="C90" s="464" t="s">
        <v>3301</v>
      </c>
      <c r="E90" s="968"/>
      <c r="F90" s="969"/>
      <c r="G90" s="970"/>
      <c r="H90" s="723" t="s">
        <v>2833</v>
      </c>
      <c r="I90" s="974"/>
      <c r="J90" s="973"/>
      <c r="K90" s="493" t="s">
        <v>2834</v>
      </c>
      <c r="L90" s="974"/>
      <c r="M90" s="973"/>
      <c r="N90" s="493" t="s">
        <v>3056</v>
      </c>
      <c r="O90" s="974"/>
      <c r="P90" s="973"/>
    </row>
    <row r="91" spans="1:16" s="458" customFormat="1" ht="3" customHeight="1">
      <c r="A91" s="733"/>
      <c r="B91" s="733"/>
      <c r="G91" s="480"/>
      <c r="H91" s="723"/>
      <c r="I91" s="723"/>
      <c r="M91" s="469"/>
    </row>
    <row r="92" spans="1:16" s="458" customFormat="1" ht="13.15" customHeight="1">
      <c r="A92" s="491" t="s">
        <v>463</v>
      </c>
      <c r="B92" s="733"/>
      <c r="C92" s="716" t="s">
        <v>2665</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3060</v>
      </c>
      <c r="C96" s="716" t="s">
        <v>2122</v>
      </c>
      <c r="D96" s="715"/>
      <c r="E96" s="715"/>
      <c r="F96" s="723"/>
      <c r="G96" s="723"/>
      <c r="H96" s="885">
        <v>3</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3063</v>
      </c>
      <c r="C98" s="716" t="s">
        <v>525</v>
      </c>
      <c r="D98" s="715"/>
      <c r="E98" s="715"/>
      <c r="F98" s="723"/>
      <c r="G98" s="723"/>
      <c r="H98" s="903">
        <v>2409882</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1238</v>
      </c>
      <c r="C100" s="716" t="s">
        <v>395</v>
      </c>
      <c r="D100" s="715"/>
      <c r="E100" s="715"/>
      <c r="F100" s="723"/>
      <c r="G100" s="723"/>
      <c r="H100" s="723"/>
      <c r="I100" s="723"/>
      <c r="J100" s="480"/>
      <c r="K100" s="723"/>
      <c r="L100" s="723"/>
      <c r="N100" s="721"/>
      <c r="O100" s="721"/>
    </row>
    <row r="101" spans="1:16" s="458" customFormat="1" ht="13.15" customHeight="1">
      <c r="B101" s="733"/>
      <c r="C101" s="715" t="s">
        <v>3235</v>
      </c>
      <c r="D101" s="715"/>
      <c r="F101" s="715" t="s">
        <v>1773</v>
      </c>
      <c r="G101" s="723"/>
      <c r="H101" s="723"/>
      <c r="I101" s="723"/>
      <c r="J101" s="715" t="s">
        <v>3235</v>
      </c>
      <c r="K101" s="715"/>
      <c r="M101" s="715" t="s">
        <v>1773</v>
      </c>
      <c r="N101" s="723"/>
      <c r="O101" s="723"/>
      <c r="P101" s="723"/>
    </row>
    <row r="102" spans="1:16" s="458" customFormat="1" ht="13.15" customHeight="1">
      <c r="A102" s="733"/>
      <c r="B102" s="733"/>
      <c r="C102" s="953" t="s">
        <v>4034</v>
      </c>
      <c r="D102" s="951"/>
      <c r="E102" s="951"/>
      <c r="F102" s="951" t="s">
        <v>4011</v>
      </c>
      <c r="G102" s="951"/>
      <c r="H102" s="951"/>
      <c r="I102" s="952"/>
      <c r="J102" s="953" t="s">
        <v>4035</v>
      </c>
      <c r="K102" s="951"/>
      <c r="L102" s="951"/>
      <c r="M102" s="951" t="s">
        <v>4036</v>
      </c>
      <c r="N102" s="951"/>
      <c r="O102" s="951"/>
      <c r="P102" s="952"/>
    </row>
    <row r="103" spans="1:16" s="458" customFormat="1" ht="13.15" customHeight="1">
      <c r="A103" s="733"/>
      <c r="B103" s="733"/>
      <c r="C103" s="954" t="s">
        <v>2282</v>
      </c>
      <c r="D103" s="955"/>
      <c r="E103" s="955"/>
      <c r="F103" s="951" t="s">
        <v>4011</v>
      </c>
      <c r="G103" s="951"/>
      <c r="H103" s="951"/>
      <c r="I103" s="952"/>
      <c r="J103" s="954" t="s">
        <v>3989</v>
      </c>
      <c r="K103" s="955"/>
      <c r="L103" s="955"/>
      <c r="M103" s="951" t="s">
        <v>3925</v>
      </c>
      <c r="N103" s="951"/>
      <c r="O103" s="951"/>
      <c r="P103" s="952"/>
    </row>
    <row r="104" spans="1:16" s="458" customFormat="1" ht="13.15" customHeight="1">
      <c r="A104" s="733"/>
      <c r="B104" s="733"/>
      <c r="C104" s="954" t="s">
        <v>4037</v>
      </c>
      <c r="D104" s="955"/>
      <c r="E104" s="955"/>
      <c r="F104" s="951" t="s">
        <v>4011</v>
      </c>
      <c r="G104" s="951"/>
      <c r="H104" s="951"/>
      <c r="I104" s="952"/>
      <c r="J104" s="954" t="s">
        <v>4038</v>
      </c>
      <c r="K104" s="955"/>
      <c r="L104" s="955"/>
      <c r="M104" s="955" t="s">
        <v>3925</v>
      </c>
      <c r="N104" s="955"/>
      <c r="O104" s="955"/>
      <c r="P104" s="956"/>
    </row>
    <row r="105" spans="1:16" s="458" customFormat="1" ht="13.15" customHeight="1">
      <c r="A105" s="733"/>
      <c r="B105" s="733"/>
      <c r="C105" s="954" t="s">
        <v>4039</v>
      </c>
      <c r="D105" s="955"/>
      <c r="E105" s="955"/>
      <c r="F105" s="951" t="s">
        <v>4011</v>
      </c>
      <c r="G105" s="951"/>
      <c r="H105" s="951"/>
      <c r="I105" s="952"/>
      <c r="J105" s="954" t="s">
        <v>4037</v>
      </c>
      <c r="K105" s="955"/>
      <c r="L105" s="955"/>
      <c r="M105" s="955" t="s">
        <v>3925</v>
      </c>
      <c r="N105" s="955"/>
      <c r="O105" s="955"/>
      <c r="P105" s="956"/>
    </row>
    <row r="106" spans="1:16" s="458" customFormat="1" ht="13.15" customHeight="1">
      <c r="A106" s="733"/>
      <c r="B106" s="733"/>
      <c r="C106" s="954" t="s">
        <v>4040</v>
      </c>
      <c r="D106" s="955"/>
      <c r="E106" s="955"/>
      <c r="F106" s="955" t="s">
        <v>4036</v>
      </c>
      <c r="G106" s="955"/>
      <c r="H106" s="955"/>
      <c r="I106" s="956"/>
      <c r="J106" s="954">
        <v>12</v>
      </c>
      <c r="K106" s="955"/>
      <c r="L106" s="955"/>
      <c r="M106" s="955"/>
      <c r="N106" s="955"/>
      <c r="O106" s="955"/>
      <c r="P106" s="956"/>
    </row>
    <row r="107" spans="1:16" s="458" customFormat="1" ht="13.15" customHeight="1">
      <c r="A107" s="733"/>
      <c r="B107" s="733"/>
      <c r="C107" s="954" t="s">
        <v>4041</v>
      </c>
      <c r="D107" s="955"/>
      <c r="E107" s="955"/>
      <c r="F107" s="955" t="s">
        <v>4036</v>
      </c>
      <c r="G107" s="955"/>
      <c r="H107" s="955"/>
      <c r="I107" s="956"/>
      <c r="J107" s="954">
        <v>13</v>
      </c>
      <c r="K107" s="955"/>
      <c r="L107" s="955"/>
      <c r="M107" s="955"/>
      <c r="N107" s="955"/>
      <c r="O107" s="955"/>
      <c r="P107" s="956"/>
    </row>
    <row r="108" spans="1:16" s="458" customFormat="1" ht="13.15" customHeight="1">
      <c r="A108" s="733"/>
      <c r="B108" s="733"/>
      <c r="C108" s="957" t="s">
        <v>4037</v>
      </c>
      <c r="D108" s="958"/>
      <c r="E108" s="958"/>
      <c r="F108" s="958" t="s">
        <v>4036</v>
      </c>
      <c r="G108" s="958"/>
      <c r="H108" s="958"/>
      <c r="I108" s="959"/>
      <c r="J108" s="957">
        <v>14</v>
      </c>
      <c r="K108" s="958"/>
      <c r="L108" s="958"/>
      <c r="M108" s="958"/>
      <c r="N108" s="958"/>
      <c r="O108" s="958"/>
      <c r="P108" s="959"/>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3212</v>
      </c>
      <c r="C110" s="960" t="s">
        <v>2900</v>
      </c>
      <c r="D110" s="960"/>
      <c r="E110" s="960"/>
      <c r="F110" s="960"/>
      <c r="G110" s="960"/>
      <c r="H110" s="960"/>
      <c r="I110" s="960"/>
      <c r="J110" s="960"/>
      <c r="K110" s="960"/>
      <c r="L110" s="960"/>
      <c r="M110" s="960"/>
      <c r="N110" s="960"/>
      <c r="O110" s="960"/>
      <c r="P110" s="960"/>
    </row>
    <row r="111" spans="1:16" s="458" customFormat="1" ht="13.15" customHeight="1">
      <c r="A111" s="733"/>
      <c r="B111" s="733"/>
      <c r="C111" s="960"/>
      <c r="D111" s="960"/>
      <c r="E111" s="960"/>
      <c r="F111" s="960"/>
      <c r="G111" s="960"/>
      <c r="H111" s="960"/>
      <c r="I111" s="960"/>
      <c r="J111" s="960"/>
      <c r="K111" s="960"/>
      <c r="L111" s="960"/>
      <c r="M111" s="960"/>
      <c r="N111" s="960"/>
      <c r="O111" s="960"/>
      <c r="P111" s="960"/>
    </row>
    <row r="112" spans="1:16" s="458" customFormat="1" ht="13.15" customHeight="1">
      <c r="B112" s="733"/>
      <c r="C112" s="715" t="s">
        <v>3235</v>
      </c>
      <c r="D112" s="715"/>
      <c r="F112" s="715" t="s">
        <v>1773</v>
      </c>
      <c r="G112" s="723"/>
      <c r="H112" s="723"/>
      <c r="I112" s="723"/>
      <c r="J112" s="715" t="s">
        <v>3235</v>
      </c>
      <c r="K112" s="715"/>
      <c r="M112" s="715" t="s">
        <v>1773</v>
      </c>
      <c r="N112" s="723"/>
      <c r="O112" s="723"/>
      <c r="P112" s="723"/>
    </row>
    <row r="113" spans="1:16" s="458" customFormat="1" ht="13.15" customHeight="1">
      <c r="A113" s="733"/>
      <c r="B113" s="733"/>
      <c r="C113" s="953">
        <v>1</v>
      </c>
      <c r="D113" s="951"/>
      <c r="E113" s="951"/>
      <c r="F113" s="951"/>
      <c r="G113" s="951"/>
      <c r="H113" s="951"/>
      <c r="I113" s="952"/>
      <c r="J113" s="953">
        <v>8</v>
      </c>
      <c r="K113" s="951"/>
      <c r="L113" s="951"/>
      <c r="M113" s="951"/>
      <c r="N113" s="951"/>
      <c r="O113" s="951"/>
      <c r="P113" s="952"/>
    </row>
    <row r="114" spans="1:16" s="458" customFormat="1" ht="13.15" customHeight="1">
      <c r="A114" s="733"/>
      <c r="B114" s="733"/>
      <c r="C114" s="954">
        <v>2</v>
      </c>
      <c r="D114" s="955"/>
      <c r="E114" s="955"/>
      <c r="F114" s="955"/>
      <c r="G114" s="955"/>
      <c r="H114" s="955"/>
      <c r="I114" s="956"/>
      <c r="J114" s="954">
        <v>9</v>
      </c>
      <c r="K114" s="955"/>
      <c r="L114" s="955"/>
      <c r="M114" s="955"/>
      <c r="N114" s="955"/>
      <c r="O114" s="955"/>
      <c r="P114" s="956"/>
    </row>
    <row r="115" spans="1:16" s="458" customFormat="1" ht="13.15" customHeight="1">
      <c r="A115" s="733"/>
      <c r="B115" s="733"/>
      <c r="C115" s="954">
        <v>3</v>
      </c>
      <c r="D115" s="955"/>
      <c r="E115" s="955"/>
      <c r="F115" s="955"/>
      <c r="G115" s="955"/>
      <c r="H115" s="955"/>
      <c r="I115" s="956"/>
      <c r="J115" s="954">
        <v>10</v>
      </c>
      <c r="K115" s="955"/>
      <c r="L115" s="955"/>
      <c r="M115" s="955"/>
      <c r="N115" s="955"/>
      <c r="O115" s="955"/>
      <c r="P115" s="956"/>
    </row>
    <row r="116" spans="1:16" s="458" customFormat="1" ht="13.15" customHeight="1">
      <c r="A116" s="733"/>
      <c r="B116" s="733"/>
      <c r="C116" s="954">
        <v>4</v>
      </c>
      <c r="D116" s="955"/>
      <c r="E116" s="955"/>
      <c r="F116" s="955"/>
      <c r="G116" s="955"/>
      <c r="H116" s="955"/>
      <c r="I116" s="956"/>
      <c r="J116" s="954">
        <v>11</v>
      </c>
      <c r="K116" s="955"/>
      <c r="L116" s="955"/>
      <c r="M116" s="955"/>
      <c r="N116" s="955"/>
      <c r="O116" s="955"/>
      <c r="P116" s="956"/>
    </row>
    <row r="117" spans="1:16" s="458" customFormat="1" ht="13.15" customHeight="1">
      <c r="A117" s="733"/>
      <c r="B117" s="733"/>
      <c r="C117" s="954">
        <v>5</v>
      </c>
      <c r="D117" s="955"/>
      <c r="E117" s="955"/>
      <c r="F117" s="955"/>
      <c r="G117" s="955"/>
      <c r="H117" s="955"/>
      <c r="I117" s="956"/>
      <c r="J117" s="954">
        <v>12</v>
      </c>
      <c r="K117" s="955"/>
      <c r="L117" s="955"/>
      <c r="M117" s="955"/>
      <c r="N117" s="955"/>
      <c r="O117" s="955"/>
      <c r="P117" s="956"/>
    </row>
    <row r="118" spans="1:16" s="458" customFormat="1" ht="13.15" customHeight="1">
      <c r="A118" s="733"/>
      <c r="B118" s="733"/>
      <c r="C118" s="954">
        <v>6</v>
      </c>
      <c r="D118" s="955"/>
      <c r="E118" s="955"/>
      <c r="F118" s="955"/>
      <c r="G118" s="955"/>
      <c r="H118" s="955"/>
      <c r="I118" s="956"/>
      <c r="J118" s="954">
        <v>13</v>
      </c>
      <c r="K118" s="955"/>
      <c r="L118" s="955"/>
      <c r="M118" s="955"/>
      <c r="N118" s="955"/>
      <c r="O118" s="955"/>
      <c r="P118" s="956"/>
    </row>
    <row r="119" spans="1:16" s="458" customFormat="1" ht="13.15" customHeight="1">
      <c r="A119" s="733"/>
      <c r="B119" s="733"/>
      <c r="C119" s="957">
        <v>7</v>
      </c>
      <c r="D119" s="958"/>
      <c r="E119" s="958"/>
      <c r="F119" s="958"/>
      <c r="G119" s="958"/>
      <c r="H119" s="958"/>
      <c r="I119" s="959"/>
      <c r="J119" s="957">
        <v>14</v>
      </c>
      <c r="K119" s="958"/>
      <c r="L119" s="958"/>
      <c r="M119" s="958"/>
      <c r="N119" s="958"/>
      <c r="O119" s="958"/>
      <c r="P119" s="959"/>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3665</v>
      </c>
      <c r="D121" s="488"/>
      <c r="E121" s="488"/>
      <c r="F121" s="488"/>
      <c r="H121" s="880" t="s">
        <v>3926</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3060</v>
      </c>
      <c r="C123" s="465" t="s">
        <v>2731</v>
      </c>
      <c r="H123" s="880"/>
      <c r="M123" s="723"/>
      <c r="N123" s="721"/>
      <c r="O123" s="721"/>
      <c r="P123" s="469"/>
    </row>
    <row r="124" spans="1:16" s="458" customFormat="1" ht="13.15" customHeight="1">
      <c r="A124" s="733"/>
      <c r="B124" s="733"/>
      <c r="C124" s="715" t="s">
        <v>3667</v>
      </c>
      <c r="D124" s="715"/>
      <c r="E124" s="715"/>
      <c r="F124" s="723"/>
      <c r="H124" s="904"/>
      <c r="N124" s="721"/>
      <c r="O124" s="721"/>
      <c r="P124" s="469"/>
    </row>
    <row r="125" spans="1:16" s="458" customFormat="1" ht="13.15" customHeight="1">
      <c r="A125" s="733"/>
      <c r="B125" s="733"/>
      <c r="C125" s="496" t="s">
        <v>2730</v>
      </c>
      <c r="D125" s="464"/>
      <c r="H125" s="971"/>
      <c r="I125" s="978"/>
      <c r="P125" s="469"/>
    </row>
    <row r="126" spans="1:16" s="458" customFormat="1" ht="13.15" customHeight="1">
      <c r="A126" s="733"/>
      <c r="B126" s="733"/>
      <c r="C126" s="715" t="s">
        <v>3668</v>
      </c>
      <c r="D126" s="715"/>
      <c r="E126" s="715"/>
      <c r="F126" s="723"/>
      <c r="H126" s="904"/>
      <c r="K126" s="418" t="s">
        <v>3375</v>
      </c>
      <c r="O126" s="971" t="s">
        <v>714</v>
      </c>
      <c r="P126" s="978"/>
    </row>
    <row r="127" spans="1:16" s="458" customFormat="1" ht="13.15" customHeight="1">
      <c r="A127" s="733"/>
      <c r="B127" s="733"/>
      <c r="C127" s="715" t="s">
        <v>3666</v>
      </c>
      <c r="F127" s="723"/>
      <c r="H127" s="885"/>
      <c r="K127" s="418" t="s">
        <v>3376</v>
      </c>
      <c r="O127" s="971" t="s">
        <v>714</v>
      </c>
      <c r="P127" s="978"/>
    </row>
    <row r="128" spans="1:16" s="458" customFormat="1" ht="13.15" customHeight="1">
      <c r="A128" s="733"/>
      <c r="B128" s="733"/>
      <c r="C128" s="715" t="s">
        <v>3273</v>
      </c>
      <c r="D128" s="715"/>
      <c r="E128" s="715"/>
      <c r="F128" s="723"/>
      <c r="H128" s="1010"/>
      <c r="I128" s="1011"/>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3063</v>
      </c>
      <c r="C130" s="716" t="s">
        <v>3770</v>
      </c>
      <c r="D130" s="715"/>
      <c r="E130" s="715"/>
      <c r="F130" s="723"/>
      <c r="H130" s="885"/>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1238</v>
      </c>
      <c r="C132" s="716" t="s">
        <v>981</v>
      </c>
      <c r="D132" s="715"/>
      <c r="E132" s="715"/>
      <c r="F132" s="723"/>
      <c r="G132" s="723"/>
      <c r="N132" s="721"/>
      <c r="O132" s="721"/>
      <c r="P132" s="469"/>
    </row>
    <row r="133" spans="1:16" s="458" customFormat="1" ht="13.15" customHeight="1">
      <c r="A133" s="733"/>
      <c r="B133" s="733"/>
      <c r="C133" s="715" t="s">
        <v>1085</v>
      </c>
      <c r="D133" s="715"/>
      <c r="E133" s="715"/>
      <c r="F133" s="723"/>
      <c r="G133" s="723"/>
      <c r="H133" s="885"/>
      <c r="K133" s="715" t="s">
        <v>2286</v>
      </c>
      <c r="L133" s="715"/>
      <c r="M133" s="723"/>
      <c r="N133" s="723"/>
      <c r="O133" s="885"/>
      <c r="P133" s="469"/>
    </row>
    <row r="134" spans="1:16" s="458" customFormat="1" ht="13.15" customHeight="1">
      <c r="A134" s="733"/>
      <c r="B134" s="733"/>
      <c r="C134" s="715" t="s">
        <v>1086</v>
      </c>
      <c r="D134" s="715"/>
      <c r="E134" s="715"/>
      <c r="F134" s="723"/>
      <c r="G134" s="723"/>
      <c r="H134" s="885"/>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1835</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3060</v>
      </c>
      <c r="C138" s="479" t="s">
        <v>2864</v>
      </c>
      <c r="F138" s="723"/>
      <c r="G138" s="723"/>
      <c r="H138" s="723"/>
      <c r="I138" s="723"/>
      <c r="J138" s="480"/>
      <c r="K138" s="723"/>
      <c r="L138" s="723"/>
      <c r="N138" s="721"/>
      <c r="O138" s="721"/>
      <c r="P138" s="469"/>
    </row>
    <row r="139" spans="1:16" s="458" customFormat="1" ht="12.6" customHeight="1">
      <c r="A139" s="733"/>
      <c r="B139" s="733"/>
      <c r="C139" s="487" t="s">
        <v>2278</v>
      </c>
      <c r="D139" s="480"/>
      <c r="E139" s="480"/>
      <c r="F139" s="723"/>
      <c r="G139" s="723"/>
      <c r="H139" s="723"/>
      <c r="I139" s="723"/>
      <c r="K139" s="885" t="s">
        <v>3926</v>
      </c>
      <c r="N139" s="721"/>
      <c r="O139" s="721"/>
      <c r="P139" s="469"/>
    </row>
    <row r="140" spans="1:16" s="458" customFormat="1" ht="12.6" customHeight="1">
      <c r="A140" s="733"/>
      <c r="B140" s="733"/>
      <c r="C140" s="458" t="s">
        <v>949</v>
      </c>
      <c r="K140" s="902"/>
      <c r="L140" s="464" t="s">
        <v>2826</v>
      </c>
      <c r="P140" s="497">
        <f>IF('Part VI-Revenues &amp; Expenses'!$M$61=0,0,$K140/'Part VI-Revenues &amp; Expenses'!$M$61)</f>
        <v>0</v>
      </c>
    </row>
    <row r="141" spans="1:16" s="458" customFormat="1" ht="12.6" customHeight="1">
      <c r="A141" s="733"/>
      <c r="B141" s="733"/>
      <c r="C141" s="458" t="s">
        <v>3274</v>
      </c>
      <c r="K141" s="902"/>
      <c r="L141" s="464" t="s">
        <v>2826</v>
      </c>
      <c r="P141" s="497">
        <f>IF('Part VI-Revenues &amp; Expenses'!$M$61=0,0,$K141/'Part VI-Revenues &amp; Expenses'!$M$61)</f>
        <v>0</v>
      </c>
    </row>
    <row r="142" spans="1:16" s="458" customFormat="1" ht="12.6" customHeight="1">
      <c r="A142" s="733"/>
      <c r="B142" s="733"/>
      <c r="C142" s="458" t="s">
        <v>2827</v>
      </c>
      <c r="E142" s="971"/>
      <c r="F142" s="977"/>
      <c r="G142" s="977"/>
      <c r="H142" s="977"/>
      <c r="I142" s="977"/>
      <c r="J142" s="977"/>
      <c r="K142" s="978"/>
      <c r="L142" s="498" t="s">
        <v>2828</v>
      </c>
      <c r="M142" s="971"/>
      <c r="N142" s="977"/>
      <c r="O142" s="977"/>
      <c r="P142" s="978"/>
    </row>
    <row r="143" spans="1:16" s="458" customFormat="1" ht="12.6" customHeight="1">
      <c r="A143" s="733"/>
      <c r="B143" s="733"/>
      <c r="C143" s="464" t="s">
        <v>2829</v>
      </c>
      <c r="D143" s="472"/>
      <c r="E143" s="971"/>
      <c r="F143" s="977"/>
      <c r="G143" s="977"/>
      <c r="H143" s="977"/>
      <c r="I143" s="977"/>
      <c r="J143" s="977"/>
      <c r="K143" s="1031"/>
      <c r="L143" s="713" t="s">
        <v>2831</v>
      </c>
      <c r="M143" s="975"/>
      <c r="N143" s="992"/>
      <c r="O143" s="992"/>
      <c r="P143" s="976"/>
    </row>
    <row r="144" spans="1:16" s="458" customFormat="1" ht="12.6" customHeight="1">
      <c r="A144" s="733"/>
      <c r="B144" s="733"/>
      <c r="C144" s="464" t="s">
        <v>953</v>
      </c>
      <c r="E144" s="971"/>
      <c r="F144" s="977"/>
      <c r="G144" s="977"/>
      <c r="H144" s="978"/>
      <c r="I144" s="493" t="s">
        <v>3354</v>
      </c>
      <c r="J144" s="985"/>
      <c r="K144" s="993"/>
      <c r="L144" s="498" t="s">
        <v>2834</v>
      </c>
      <c r="M144" s="968"/>
      <c r="N144" s="969"/>
      <c r="O144" s="970"/>
    </row>
    <row r="145" spans="1:16" s="458" customFormat="1" ht="12.6" customHeight="1">
      <c r="A145" s="733"/>
      <c r="B145" s="733"/>
      <c r="C145" s="464" t="s">
        <v>2832</v>
      </c>
      <c r="E145" s="968"/>
      <c r="F145" s="969"/>
      <c r="G145" s="970"/>
      <c r="H145" s="499" t="s">
        <v>2833</v>
      </c>
      <c r="I145" s="968"/>
      <c r="J145" s="969"/>
      <c r="K145" s="970"/>
      <c r="L145" s="500" t="s">
        <v>3056</v>
      </c>
      <c r="M145" s="968"/>
      <c r="N145" s="969"/>
      <c r="O145" s="970"/>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3063</v>
      </c>
      <c r="C147" s="716" t="s">
        <v>2372</v>
      </c>
      <c r="D147" s="716"/>
      <c r="E147" s="716"/>
      <c r="F147" s="716"/>
      <c r="G147" s="716"/>
      <c r="I147" s="885" t="s">
        <v>3926</v>
      </c>
      <c r="J147" s="1056" t="s">
        <v>1253</v>
      </c>
      <c r="K147" s="1057"/>
      <c r="L147" s="885"/>
      <c r="M147" s="1053" t="s">
        <v>3471</v>
      </c>
      <c r="N147" s="1054"/>
      <c r="O147" s="1055"/>
      <c r="P147" s="904"/>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1238</v>
      </c>
      <c r="C149" s="716" t="s">
        <v>2785</v>
      </c>
      <c r="D149" s="716"/>
      <c r="E149" s="716"/>
      <c r="F149" s="716"/>
      <c r="G149" s="716"/>
      <c r="I149" s="885" t="s">
        <v>3926</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3212</v>
      </c>
      <c r="C151" s="1036" t="s">
        <v>3055</v>
      </c>
      <c r="D151" s="1036"/>
      <c r="E151" s="1036"/>
      <c r="F151" s="1036"/>
      <c r="G151" s="716"/>
      <c r="I151" s="885" t="s">
        <v>3926</v>
      </c>
    </row>
    <row r="152" spans="1:16" s="458" customFormat="1" ht="12.6" customHeight="1">
      <c r="B152" s="733"/>
      <c r="C152" s="1035" t="s">
        <v>2209</v>
      </c>
      <c r="D152" s="1035"/>
      <c r="E152" s="716"/>
      <c r="F152" s="716"/>
      <c r="G152" s="716"/>
      <c r="I152" s="905"/>
    </row>
    <row r="153" spans="1:16" s="458" customFormat="1" ht="12.6" customHeight="1">
      <c r="A153" s="733"/>
      <c r="B153" s="733"/>
      <c r="C153" s="967" t="s">
        <v>1379</v>
      </c>
      <c r="D153" s="967"/>
      <c r="E153" s="461"/>
      <c r="F153" s="716"/>
      <c r="G153" s="716"/>
      <c r="I153" s="905"/>
      <c r="K153" s="468"/>
      <c r="P153" s="469"/>
    </row>
    <row r="154" spans="1:16" s="458" customFormat="1" ht="12.6" customHeight="1">
      <c r="B154" s="733"/>
      <c r="C154" s="967" t="s">
        <v>2822</v>
      </c>
      <c r="D154" s="967"/>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2762</v>
      </c>
      <c r="C156" s="395" t="s">
        <v>2373</v>
      </c>
      <c r="D156" s="715"/>
      <c r="E156" s="715"/>
      <c r="F156" s="715"/>
      <c r="G156" s="715"/>
      <c r="H156" s="723"/>
      <c r="J156" s="468"/>
      <c r="K156" s="480"/>
      <c r="M156" s="721"/>
      <c r="O156" s="723"/>
      <c r="P156" s="469"/>
    </row>
    <row r="157" spans="1:16" s="458" customFormat="1" ht="12.6" customHeight="1">
      <c r="A157" s="733"/>
      <c r="B157" s="733"/>
      <c r="C157" s="721" t="s">
        <v>3328</v>
      </c>
      <c r="D157" s="470"/>
      <c r="E157" s="721"/>
      <c r="F157" s="721"/>
      <c r="I157" s="885" t="s">
        <v>3926</v>
      </c>
      <c r="L157" s="721" t="s">
        <v>3327</v>
      </c>
      <c r="P157" s="885" t="s">
        <v>3926</v>
      </c>
    </row>
    <row r="158" spans="1:16" s="458" customFormat="1" ht="12.6" customHeight="1">
      <c r="A158" s="733"/>
      <c r="B158" s="733"/>
      <c r="C158" s="721" t="s">
        <v>3330</v>
      </c>
      <c r="I158" s="885" t="s">
        <v>3926</v>
      </c>
      <c r="L158" s="721" t="s">
        <v>2375</v>
      </c>
      <c r="P158" s="885" t="s">
        <v>3926</v>
      </c>
    </row>
    <row r="159" spans="1:16" s="458" customFormat="1" ht="12.6" customHeight="1">
      <c r="A159" s="733"/>
      <c r="C159" s="721" t="s">
        <v>1979</v>
      </c>
      <c r="D159" s="505"/>
      <c r="I159" s="885" t="s">
        <v>3926</v>
      </c>
      <c r="L159" s="721" t="s">
        <v>2544</v>
      </c>
      <c r="P159" s="885" t="s">
        <v>3926</v>
      </c>
    </row>
    <row r="160" spans="1:16" s="458" customFormat="1" ht="12.6" customHeight="1">
      <c r="A160" s="733"/>
      <c r="B160" s="733"/>
      <c r="C160" s="721" t="s">
        <v>2374</v>
      </c>
      <c r="D160" s="470"/>
      <c r="E160" s="721"/>
      <c r="F160" s="721"/>
      <c r="I160" s="885" t="s">
        <v>3928</v>
      </c>
      <c r="K160" s="470"/>
      <c r="L160" s="721" t="s">
        <v>2289</v>
      </c>
      <c r="M160" s="721"/>
      <c r="P160" s="885" t="s">
        <v>3926</v>
      </c>
    </row>
    <row r="161" spans="1:16" s="458" customFormat="1" ht="12.6" customHeight="1">
      <c r="A161" s="733"/>
      <c r="B161" s="733"/>
      <c r="C161" s="721" t="s">
        <v>2376</v>
      </c>
      <c r="D161" s="470"/>
      <c r="E161" s="721"/>
      <c r="F161" s="721"/>
      <c r="I161" s="885" t="s">
        <v>3928</v>
      </c>
      <c r="K161" s="470"/>
      <c r="L161" s="721"/>
      <c r="M161" s="721"/>
    </row>
    <row r="162" spans="1:16" s="458" customFormat="1" ht="12.6" customHeight="1">
      <c r="A162" s="733"/>
      <c r="B162" s="461"/>
      <c r="C162" s="721" t="s">
        <v>2844</v>
      </c>
      <c r="D162" s="470"/>
      <c r="I162" s="885" t="s">
        <v>3926</v>
      </c>
      <c r="J162" s="504" t="s">
        <v>3374</v>
      </c>
      <c r="O162" s="1033"/>
      <c r="P162" s="1034"/>
    </row>
    <row r="163" spans="1:16" s="458" customFormat="1" ht="12.6" customHeight="1">
      <c r="A163" s="733"/>
      <c r="B163" s="733"/>
      <c r="C163" s="721" t="s">
        <v>3410</v>
      </c>
      <c r="E163" s="979"/>
      <c r="F163" s="1032"/>
      <c r="G163" s="1032"/>
      <c r="H163" s="980"/>
      <c r="I163" s="885" t="s">
        <v>3926</v>
      </c>
    </row>
    <row r="164" spans="1:16" s="458" customFormat="1" ht="1.9" customHeight="1">
      <c r="A164" s="733"/>
      <c r="B164" s="733"/>
      <c r="P164" s="468"/>
    </row>
    <row r="165" spans="1:16" s="458" customFormat="1" ht="13.15" customHeight="1">
      <c r="B165" s="733" t="s">
        <v>2763</v>
      </c>
      <c r="C165" s="465" t="s">
        <v>1228</v>
      </c>
    </row>
    <row r="166" spans="1:16" s="458" customFormat="1" ht="12.6" customHeight="1">
      <c r="A166" s="733"/>
      <c r="B166" s="733"/>
      <c r="C166" s="464" t="s">
        <v>975</v>
      </c>
      <c r="D166" s="715"/>
      <c r="E166" s="715"/>
      <c r="F166" s="723"/>
      <c r="G166" s="723"/>
      <c r="I166" s="1010"/>
      <c r="J166" s="1011"/>
      <c r="N166" s="721"/>
      <c r="O166" s="721"/>
      <c r="P166" s="469"/>
    </row>
    <row r="167" spans="1:16" s="458" customFormat="1" ht="12.6" customHeight="1">
      <c r="A167" s="733"/>
      <c r="B167" s="733"/>
      <c r="C167" s="464" t="s">
        <v>367</v>
      </c>
      <c r="D167" s="715"/>
      <c r="E167" s="715"/>
      <c r="F167" s="723"/>
      <c r="G167" s="723"/>
      <c r="I167" s="1010"/>
      <c r="J167" s="1011"/>
      <c r="N167" s="721"/>
      <c r="O167" s="721"/>
      <c r="P167" s="469"/>
    </row>
    <row r="168" spans="1:16" s="458" customFormat="1" ht="12.6" customHeight="1">
      <c r="A168" s="733"/>
      <c r="B168" s="733"/>
      <c r="C168" s="464" t="s">
        <v>3436</v>
      </c>
      <c r="D168" s="715"/>
      <c r="E168" s="715"/>
      <c r="F168" s="723"/>
      <c r="G168" s="723"/>
      <c r="I168" s="1010">
        <v>41639</v>
      </c>
      <c r="J168" s="1011"/>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3381</v>
      </c>
      <c r="L170" s="491" t="s">
        <v>89</v>
      </c>
    </row>
    <row r="171" spans="1:16" ht="38.450000000000003" customHeight="1">
      <c r="A171" s="1018" t="s">
        <v>3970</v>
      </c>
      <c r="B171" s="1019"/>
      <c r="C171" s="1019"/>
      <c r="D171" s="1019"/>
      <c r="E171" s="1019"/>
      <c r="F171" s="1019"/>
      <c r="G171" s="1019"/>
      <c r="H171" s="1019"/>
      <c r="I171" s="1019"/>
      <c r="J171" s="1020"/>
      <c r="K171" s="1021"/>
      <c r="L171" s="1022"/>
      <c r="M171" s="1022"/>
      <c r="N171" s="1022"/>
      <c r="O171" s="1022"/>
      <c r="P171" s="1023"/>
    </row>
    <row r="172" spans="1:16" ht="38.450000000000003" customHeight="1">
      <c r="A172" s="1015" t="s">
        <v>3971</v>
      </c>
      <c r="B172" s="1016"/>
      <c r="C172" s="1016"/>
      <c r="D172" s="1016"/>
      <c r="E172" s="1016"/>
      <c r="F172" s="1016"/>
      <c r="G172" s="1016"/>
      <c r="H172" s="1016"/>
      <c r="I172" s="1016"/>
      <c r="J172" s="1017"/>
      <c r="K172" s="1012"/>
      <c r="L172" s="1013"/>
      <c r="M172" s="1013"/>
      <c r="N172" s="1013"/>
      <c r="O172" s="1013"/>
      <c r="P172" s="1014"/>
    </row>
    <row r="173" spans="1:16" ht="38.450000000000003" customHeight="1">
      <c r="A173" s="1024"/>
      <c r="B173" s="1025"/>
      <c r="C173" s="1025"/>
      <c r="D173" s="1025"/>
      <c r="E173" s="1025"/>
      <c r="F173" s="1025"/>
      <c r="G173" s="1025"/>
      <c r="H173" s="1025"/>
      <c r="I173" s="1025"/>
      <c r="J173" s="1026"/>
      <c r="K173" s="1027"/>
      <c r="L173" s="1028"/>
      <c r="M173" s="1028"/>
      <c r="N173" s="1028"/>
      <c r="O173" s="1028"/>
      <c r="P173" s="102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3637</v>
      </c>
      <c r="K182" s="623"/>
      <c r="L182" s="626"/>
      <c r="M182" s="627"/>
      <c r="N182" s="627" t="s">
        <v>953</v>
      </c>
      <c r="O182" s="628" t="s">
        <v>954</v>
      </c>
      <c r="P182" s="627" t="s">
        <v>3243</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3638</v>
      </c>
      <c r="O183" s="636" t="s">
        <v>3027</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3762</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3176</v>
      </c>
      <c r="K186" s="635"/>
      <c r="L186" s="626"/>
      <c r="M186" s="627"/>
      <c r="N186" s="636" t="s">
        <v>677</v>
      </c>
      <c r="O186" s="636" t="s">
        <v>3818</v>
      </c>
      <c r="P186" s="507" t="s">
        <v>2381</v>
      </c>
      <c r="Q186" s="611"/>
      <c r="S186" s="611"/>
      <c r="T186" s="636" t="s">
        <v>2369</v>
      </c>
      <c r="U186" s="636" t="s">
        <v>3817</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3178</v>
      </c>
      <c r="K187" s="635"/>
      <c r="L187" s="626"/>
      <c r="M187" s="627"/>
      <c r="N187" s="636" t="s">
        <v>3177</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3180</v>
      </c>
      <c r="K188" s="635"/>
      <c r="L188" s="626"/>
      <c r="M188" s="627"/>
      <c r="N188" s="636" t="s">
        <v>3179</v>
      </c>
      <c r="O188" s="636" t="s">
        <v>241</v>
      </c>
      <c r="P188" s="507" t="s">
        <v>2383</v>
      </c>
      <c r="Q188" s="611"/>
      <c r="S188" s="611"/>
      <c r="T188" s="636" t="s">
        <v>3222</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3887</v>
      </c>
      <c r="H189" s="632" t="s">
        <v>537</v>
      </c>
      <c r="I189" s="638"/>
      <c r="J189" s="634" t="s">
        <v>3182</v>
      </c>
      <c r="K189" s="635"/>
      <c r="L189" s="626"/>
      <c r="M189" s="627"/>
      <c r="N189" s="636" t="s">
        <v>3181</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3887</v>
      </c>
      <c r="H190" s="632" t="s">
        <v>537</v>
      </c>
      <c r="I190" s="638"/>
      <c r="J190" s="634" t="s">
        <v>3184</v>
      </c>
      <c r="K190" s="635"/>
      <c r="L190" s="626"/>
      <c r="M190" s="627"/>
      <c r="N190" s="636" t="s">
        <v>3183</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3888</v>
      </c>
      <c r="H191" s="632" t="s">
        <v>536</v>
      </c>
      <c r="I191" s="633"/>
      <c r="J191" s="634" t="s">
        <v>3039</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3889</v>
      </c>
      <c r="H192" s="632" t="s">
        <v>536</v>
      </c>
      <c r="I192" s="633"/>
      <c r="J192" s="634" t="s">
        <v>237</v>
      </c>
      <c r="K192" s="639"/>
      <c r="L192" s="507"/>
      <c r="M192" s="627"/>
      <c r="N192" s="636" t="s">
        <v>3040</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3890</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3891</v>
      </c>
      <c r="H194" s="632" t="s">
        <v>536</v>
      </c>
      <c r="I194" s="638"/>
      <c r="J194" s="634" t="s">
        <v>657</v>
      </c>
      <c r="K194" s="635"/>
      <c r="L194" s="626"/>
      <c r="M194" s="627"/>
      <c r="N194" s="636" t="s">
        <v>240</v>
      </c>
      <c r="O194" s="636" t="s">
        <v>3634</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3892</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3893</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3911</v>
      </c>
      <c r="H198" s="632" t="s">
        <v>536</v>
      </c>
      <c r="I198" s="638"/>
      <c r="J198" s="634" t="s">
        <v>3393</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3912</v>
      </c>
      <c r="H199" s="632" t="s">
        <v>537</v>
      </c>
      <c r="I199" s="638"/>
      <c r="J199" s="634" t="s">
        <v>3395</v>
      </c>
      <c r="K199" s="635"/>
      <c r="L199" s="626"/>
      <c r="M199" s="627"/>
      <c r="N199" s="636" t="s">
        <v>3394</v>
      </c>
      <c r="O199" s="636" t="s">
        <v>3763</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2901</v>
      </c>
      <c r="O200" s="636" t="s">
        <v>3285</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3285</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3844</v>
      </c>
      <c r="K202" s="635"/>
      <c r="L202" s="626"/>
      <c r="M202" s="627"/>
      <c r="N202" s="636" t="s">
        <v>3845</v>
      </c>
      <c r="O202" s="636" t="s">
        <v>3822</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3846</v>
      </c>
      <c r="K203" s="635"/>
      <c r="L203" s="626"/>
      <c r="M203" s="627"/>
      <c r="N203" s="636" t="s">
        <v>3847</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3887</v>
      </c>
      <c r="H204" s="632" t="s">
        <v>537</v>
      </c>
      <c r="I204" s="638"/>
      <c r="J204" s="634" t="s">
        <v>3848</v>
      </c>
      <c r="K204" s="635"/>
      <c r="L204" s="626"/>
      <c r="M204" s="627"/>
      <c r="N204" s="636" t="s">
        <v>3849</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3850</v>
      </c>
      <c r="K205" s="635"/>
      <c r="L205" s="626"/>
      <c r="M205" s="627"/>
      <c r="N205" s="636" t="s">
        <v>3851</v>
      </c>
      <c r="O205" s="636" t="s">
        <v>3760</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3852</v>
      </c>
      <c r="K206" s="635"/>
      <c r="L206" s="626"/>
      <c r="M206" s="627"/>
      <c r="N206" s="636" t="s">
        <v>3853</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3854</v>
      </c>
      <c r="K207" s="635"/>
      <c r="L207" s="626"/>
      <c r="M207" s="627"/>
      <c r="N207" s="636" t="s">
        <v>3856</v>
      </c>
      <c r="O207" s="636" t="s">
        <v>3904</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3855</v>
      </c>
      <c r="K208" s="635"/>
      <c r="L208" s="626"/>
      <c r="M208" s="627"/>
      <c r="N208" s="636" t="s">
        <v>3858</v>
      </c>
      <c r="O208" s="636" t="s">
        <v>2988</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3857</v>
      </c>
      <c r="K209" s="635"/>
      <c r="L209" s="626"/>
      <c r="M209" s="627"/>
      <c r="N209" s="636" t="s">
        <v>222</v>
      </c>
      <c r="O209" s="636" t="s">
        <v>221</v>
      </c>
      <c r="P209" s="906"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3887</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3135</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3757</v>
      </c>
      <c r="D212" s="507" t="s">
        <v>1872</v>
      </c>
      <c r="E212" s="630" t="s">
        <v>3758</v>
      </c>
      <c r="F212" s="630"/>
      <c r="G212" s="631" t="s">
        <v>957</v>
      </c>
      <c r="H212" s="632" t="s">
        <v>536</v>
      </c>
      <c r="I212" s="633"/>
      <c r="J212" s="634" t="s">
        <v>1357</v>
      </c>
      <c r="K212" s="639"/>
      <c r="L212" s="626"/>
      <c r="M212" s="627"/>
      <c r="N212" s="636" t="s">
        <v>3167</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3759</v>
      </c>
      <c r="D213" s="507" t="s">
        <v>2036</v>
      </c>
      <c r="E213" s="637" t="s">
        <v>1339</v>
      </c>
      <c r="F213" s="637"/>
      <c r="G213" s="631" t="s">
        <v>3887</v>
      </c>
      <c r="H213" s="632" t="s">
        <v>537</v>
      </c>
      <c r="I213" s="638"/>
      <c r="J213" s="634" t="s">
        <v>1359</v>
      </c>
      <c r="K213" s="639"/>
      <c r="L213" s="626"/>
      <c r="M213" s="627"/>
      <c r="N213" s="636" t="s">
        <v>2031</v>
      </c>
      <c r="O213" s="636" t="s">
        <v>1740</v>
      </c>
      <c r="P213" s="906" t="s">
        <v>1412</v>
      </c>
      <c r="Q213" s="611"/>
      <c r="S213" s="611"/>
      <c r="T213" s="611"/>
      <c r="U213" s="611"/>
      <c r="V213" s="611"/>
      <c r="W213" s="611"/>
      <c r="X213" s="611"/>
      <c r="Y213" s="611"/>
      <c r="Z213" s="611"/>
      <c r="AA213" s="611"/>
    </row>
    <row r="214" spans="1:27" ht="12" customHeight="1">
      <c r="A214" s="611"/>
      <c r="B214" s="507" t="s">
        <v>2049</v>
      </c>
      <c r="C214" s="507" t="s">
        <v>3760</v>
      </c>
      <c r="D214" s="507" t="s">
        <v>1872</v>
      </c>
      <c r="E214" s="630" t="s">
        <v>3761</v>
      </c>
      <c r="F214" s="630"/>
      <c r="G214" s="631" t="s">
        <v>958</v>
      </c>
      <c r="H214" s="632" t="s">
        <v>536</v>
      </c>
      <c r="I214" s="633"/>
      <c r="J214" s="634" t="s">
        <v>3168</v>
      </c>
      <c r="K214" s="639"/>
      <c r="L214" s="626"/>
      <c r="M214" s="627"/>
      <c r="N214" s="636" t="s">
        <v>3170</v>
      </c>
      <c r="O214" s="636" t="s">
        <v>3762</v>
      </c>
      <c r="P214" s="507" t="s">
        <v>2407</v>
      </c>
      <c r="Q214" s="631"/>
      <c r="S214" s="611"/>
      <c r="T214" s="611"/>
      <c r="U214" s="611"/>
      <c r="V214" s="611"/>
      <c r="W214" s="611"/>
      <c r="X214" s="611"/>
      <c r="Y214" s="611"/>
      <c r="Z214" s="611"/>
      <c r="AA214" s="611"/>
    </row>
    <row r="215" spans="1:27" ht="12" customHeight="1">
      <c r="A215" s="611"/>
      <c r="B215" s="507" t="s">
        <v>2050</v>
      </c>
      <c r="C215" s="507" t="s">
        <v>3762</v>
      </c>
      <c r="D215" s="507" t="s">
        <v>2012</v>
      </c>
      <c r="E215" s="637" t="s">
        <v>1339</v>
      </c>
      <c r="F215" s="637"/>
      <c r="G215" s="631" t="s">
        <v>3887</v>
      </c>
      <c r="H215" s="632" t="s">
        <v>537</v>
      </c>
      <c r="I215" s="638"/>
      <c r="J215" s="634" t="s">
        <v>3169</v>
      </c>
      <c r="K215" s="639"/>
      <c r="L215" s="626"/>
      <c r="M215" s="627"/>
      <c r="N215" s="636" t="s">
        <v>3077</v>
      </c>
      <c r="O215" s="636" t="s">
        <v>3281</v>
      </c>
      <c r="P215" s="507" t="s">
        <v>2408</v>
      </c>
      <c r="Q215" s="631"/>
      <c r="S215" s="611"/>
      <c r="T215" s="611"/>
      <c r="U215" s="611"/>
      <c r="V215" s="611"/>
      <c r="W215" s="611"/>
      <c r="X215" s="611"/>
      <c r="Y215" s="611"/>
      <c r="Z215" s="611"/>
      <c r="AA215" s="611"/>
    </row>
    <row r="216" spans="1:27" ht="12" customHeight="1">
      <c r="A216" s="611"/>
      <c r="B216" s="507" t="s">
        <v>2051</v>
      </c>
      <c r="C216" s="507" t="s">
        <v>3763</v>
      </c>
      <c r="D216" s="507" t="s">
        <v>1872</v>
      </c>
      <c r="E216" s="630" t="s">
        <v>3764</v>
      </c>
      <c r="F216" s="630"/>
      <c r="G216" s="631" t="s">
        <v>959</v>
      </c>
      <c r="H216" s="632" t="s">
        <v>536</v>
      </c>
      <c r="I216" s="633"/>
      <c r="J216" s="634" t="s">
        <v>3171</v>
      </c>
      <c r="K216" s="639"/>
      <c r="L216" s="626"/>
      <c r="M216" s="627"/>
      <c r="N216" s="636" t="s">
        <v>3172</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3765</v>
      </c>
      <c r="D217" s="507" t="s">
        <v>1872</v>
      </c>
      <c r="E217" s="630" t="s">
        <v>3816</v>
      </c>
      <c r="F217" s="630"/>
      <c r="G217" s="631" t="s">
        <v>960</v>
      </c>
      <c r="H217" s="632" t="s">
        <v>536</v>
      </c>
      <c r="I217" s="633"/>
      <c r="J217" s="634" t="s">
        <v>3203</v>
      </c>
      <c r="K217" s="639"/>
      <c r="L217" s="626"/>
      <c r="M217" s="627"/>
      <c r="N217" s="636" t="s">
        <v>3204</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3817</v>
      </c>
      <c r="D218" s="507" t="s">
        <v>2036</v>
      </c>
      <c r="E218" s="637" t="s">
        <v>1340</v>
      </c>
      <c r="F218" s="637"/>
      <c r="G218" s="631" t="s">
        <v>3912</v>
      </c>
      <c r="H218" s="632" t="s">
        <v>537</v>
      </c>
      <c r="I218" s="638"/>
      <c r="J218" s="634" t="s">
        <v>3205</v>
      </c>
      <c r="K218" s="639"/>
      <c r="L218" s="626"/>
      <c r="M218" s="627"/>
      <c r="N218" s="636" t="s">
        <v>3206</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3818</v>
      </c>
      <c r="D219" s="507" t="s">
        <v>1872</v>
      </c>
      <c r="E219" s="630" t="s">
        <v>3819</v>
      </c>
      <c r="F219" s="630"/>
      <c r="G219" s="631" t="s">
        <v>961</v>
      </c>
      <c r="H219" s="632" t="s">
        <v>536</v>
      </c>
      <c r="I219" s="633"/>
      <c r="J219" s="634" t="s">
        <v>3207</v>
      </c>
      <c r="K219" s="639"/>
      <c r="L219" s="626"/>
      <c r="M219" s="627"/>
      <c r="N219" s="636" t="s">
        <v>3208</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3820</v>
      </c>
      <c r="D220" s="507" t="s">
        <v>2036</v>
      </c>
      <c r="E220" s="637" t="s">
        <v>1339</v>
      </c>
      <c r="F220" s="637"/>
      <c r="G220" s="631" t="s">
        <v>3887</v>
      </c>
      <c r="H220" s="632" t="s">
        <v>537</v>
      </c>
      <c r="I220" s="638"/>
      <c r="J220" s="634" t="s">
        <v>3209</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3821</v>
      </c>
      <c r="D221" s="507" t="s">
        <v>2036</v>
      </c>
      <c r="E221" s="637" t="s">
        <v>2021</v>
      </c>
      <c r="F221" s="637"/>
      <c r="G221" s="631" t="s">
        <v>3890</v>
      </c>
      <c r="H221" s="632" t="s">
        <v>537</v>
      </c>
      <c r="I221" s="638"/>
      <c r="J221" s="634" t="s">
        <v>3838</v>
      </c>
      <c r="K221" s="639"/>
      <c r="L221" s="626"/>
      <c r="M221" s="627"/>
      <c r="N221" s="636" t="s">
        <v>3839</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3822</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3082</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3887</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3363</v>
      </c>
      <c r="K225" s="639"/>
      <c r="L225" s="626"/>
      <c r="M225" s="627"/>
      <c r="N225" s="636" t="s">
        <v>3364</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3887</v>
      </c>
      <c r="H226" s="632" t="s">
        <v>537</v>
      </c>
      <c r="I226" s="638"/>
      <c r="J226" s="634" t="s">
        <v>3365</v>
      </c>
      <c r="K226" s="639"/>
      <c r="L226" s="626"/>
      <c r="M226" s="627"/>
      <c r="N226" s="636" t="s">
        <v>3366</v>
      </c>
      <c r="O226" s="636" t="s">
        <v>3373</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3035</v>
      </c>
      <c r="H227" s="632" t="s">
        <v>536</v>
      </c>
      <c r="I227" s="633"/>
      <c r="J227" s="634" t="s">
        <v>3367</v>
      </c>
      <c r="K227" s="639"/>
      <c r="L227" s="626"/>
      <c r="M227" s="627"/>
      <c r="N227" s="507" t="s">
        <v>3866</v>
      </c>
      <c r="O227" s="507" t="s">
        <v>964</v>
      </c>
      <c r="P227" s="907" t="s">
        <v>3242</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3036</v>
      </c>
      <c r="H228" s="632" t="s">
        <v>536</v>
      </c>
      <c r="I228" s="633"/>
      <c r="J228" s="634" t="s">
        <v>3401</v>
      </c>
      <c r="K228" s="639"/>
      <c r="L228" s="626"/>
      <c r="M228" s="627"/>
      <c r="N228" s="636" t="s">
        <v>3368</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3765</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3887</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3037</v>
      </c>
      <c r="H231" s="632" t="s">
        <v>536</v>
      </c>
      <c r="I231" s="633"/>
      <c r="J231" s="634" t="s">
        <v>3263</v>
      </c>
      <c r="K231" s="639"/>
      <c r="L231" s="626"/>
      <c r="M231" s="627"/>
      <c r="N231" s="636" t="s">
        <v>2805</v>
      </c>
      <c r="O231" s="636" t="s">
        <v>3088</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3893</v>
      </c>
      <c r="H232" s="632" t="s">
        <v>537</v>
      </c>
      <c r="I232" s="633"/>
      <c r="J232" s="634" t="s">
        <v>3264</v>
      </c>
      <c r="K232" s="639"/>
      <c r="L232" s="626"/>
      <c r="M232" s="627"/>
      <c r="N232" s="636" t="s">
        <v>1413</v>
      </c>
      <c r="O232" s="636" t="s">
        <v>3901</v>
      </c>
      <c r="P232" s="906"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3691</v>
      </c>
      <c r="K233" s="635"/>
      <c r="L233" s="626"/>
      <c r="M233" s="627"/>
      <c r="N233" s="636" t="s">
        <v>3265</v>
      </c>
      <c r="O233" s="636" t="s">
        <v>3903</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3693</v>
      </c>
      <c r="K234" s="635"/>
      <c r="L234" s="626"/>
      <c r="M234" s="627"/>
      <c r="N234" s="636" t="s">
        <v>3692</v>
      </c>
      <c r="O234" s="636" t="s">
        <v>1725</v>
      </c>
      <c r="P234" s="507" t="s">
        <v>2425</v>
      </c>
      <c r="Q234" s="631"/>
      <c r="S234" s="611"/>
      <c r="T234" s="611"/>
      <c r="U234" s="611"/>
      <c r="V234" s="611"/>
      <c r="W234" s="611"/>
      <c r="X234" s="611"/>
      <c r="Y234" s="611"/>
      <c r="Z234" s="611"/>
      <c r="AA234" s="611"/>
    </row>
    <row r="235" spans="1:27" ht="12" customHeight="1">
      <c r="A235" s="611"/>
      <c r="B235" s="640"/>
      <c r="C235" s="507" t="s">
        <v>3371</v>
      </c>
      <c r="D235" s="507" t="s">
        <v>1872</v>
      </c>
      <c r="E235" s="630" t="s">
        <v>3372</v>
      </c>
      <c r="F235" s="630"/>
      <c r="G235" s="631" t="s">
        <v>2038</v>
      </c>
      <c r="H235" s="632" t="s">
        <v>536</v>
      </c>
      <c r="I235" s="633"/>
      <c r="J235" s="634" t="s">
        <v>3695</v>
      </c>
      <c r="K235" s="635"/>
      <c r="L235" s="626"/>
      <c r="M235" s="627"/>
      <c r="N235" s="507" t="s">
        <v>3867</v>
      </c>
      <c r="O235" s="507" t="s">
        <v>414</v>
      </c>
      <c r="P235" s="907" t="s">
        <v>3242</v>
      </c>
      <c r="Q235" s="631"/>
      <c r="S235" s="611"/>
      <c r="T235" s="611"/>
      <c r="U235" s="611"/>
      <c r="V235" s="611"/>
      <c r="W235" s="611"/>
      <c r="X235" s="611"/>
      <c r="Y235" s="611"/>
      <c r="Z235" s="611"/>
      <c r="AA235" s="611"/>
    </row>
    <row r="236" spans="1:27" ht="12" customHeight="1">
      <c r="A236" s="611"/>
      <c r="B236" s="640"/>
      <c r="C236" s="507" t="s">
        <v>3373</v>
      </c>
      <c r="D236" s="507" t="s">
        <v>1872</v>
      </c>
      <c r="E236" s="630" t="s">
        <v>998</v>
      </c>
      <c r="F236" s="630"/>
      <c r="G236" s="631" t="s">
        <v>2039</v>
      </c>
      <c r="H236" s="632" t="s">
        <v>536</v>
      </c>
      <c r="I236" s="633"/>
      <c r="J236" s="634" t="s">
        <v>3697</v>
      </c>
      <c r="K236" s="635"/>
      <c r="L236" s="626"/>
      <c r="M236" s="627"/>
      <c r="N236" s="636" t="s">
        <v>3694</v>
      </c>
      <c r="O236" s="636" t="s">
        <v>2991</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3698</v>
      </c>
      <c r="K237" s="635"/>
      <c r="L237" s="626"/>
      <c r="M237" s="627"/>
      <c r="N237" s="636" t="s">
        <v>3696</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3887</v>
      </c>
      <c r="H238" s="632" t="s">
        <v>537</v>
      </c>
      <c r="I238" s="638"/>
      <c r="J238" s="634" t="s">
        <v>3355</v>
      </c>
      <c r="K238" s="635"/>
      <c r="L238" s="626"/>
      <c r="M238" s="627"/>
      <c r="N238" s="636" t="s">
        <v>3699</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3400</v>
      </c>
      <c r="F239" s="637"/>
      <c r="G239" s="631" t="s">
        <v>2041</v>
      </c>
      <c r="H239" s="632" t="s">
        <v>537</v>
      </c>
      <c r="I239" s="638"/>
      <c r="J239" s="634" t="s">
        <v>1065</v>
      </c>
      <c r="K239" s="635"/>
      <c r="L239" s="626"/>
      <c r="M239" s="627"/>
      <c r="N239" s="636" t="s">
        <v>3356</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3887</v>
      </c>
      <c r="H240" s="632" t="s">
        <v>537</v>
      </c>
      <c r="I240" s="638"/>
      <c r="J240" s="634" t="s">
        <v>1067</v>
      </c>
      <c r="K240" s="635"/>
      <c r="L240" s="626"/>
      <c r="M240" s="627"/>
      <c r="N240" s="636" t="s">
        <v>1066</v>
      </c>
      <c r="O240" s="636" t="s">
        <v>3757</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3887</v>
      </c>
      <c r="H242" s="632" t="s">
        <v>537</v>
      </c>
      <c r="I242" s="638"/>
      <c r="J242" s="634" t="s">
        <v>1071</v>
      </c>
      <c r="K242" s="635"/>
      <c r="L242" s="626"/>
      <c r="M242" s="627"/>
      <c r="N242" s="636" t="s">
        <v>1070</v>
      </c>
      <c r="O242" s="636" t="s">
        <v>3903</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3346</v>
      </c>
      <c r="K243" s="635"/>
      <c r="L243" s="626"/>
      <c r="M243" s="627"/>
      <c r="N243" s="507" t="s">
        <v>3868</v>
      </c>
      <c r="O243" s="507" t="s">
        <v>3759</v>
      </c>
      <c r="P243" s="907" t="s">
        <v>3242</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3347</v>
      </c>
      <c r="K244" s="635"/>
      <c r="L244" s="626"/>
      <c r="M244" s="627"/>
      <c r="N244" s="636" t="s">
        <v>3348</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3892</v>
      </c>
      <c r="H245" s="632" t="s">
        <v>537</v>
      </c>
      <c r="I245" s="633"/>
      <c r="J245" s="634" t="s">
        <v>3349</v>
      </c>
      <c r="K245" s="635"/>
      <c r="L245" s="626"/>
      <c r="M245" s="627"/>
      <c r="N245" s="636" t="s">
        <v>3350</v>
      </c>
      <c r="O245" s="636" t="s">
        <v>3897</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3402</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3403</v>
      </c>
      <c r="K248" s="635"/>
      <c r="L248" s="626"/>
      <c r="M248" s="627"/>
      <c r="N248" s="636" t="s">
        <v>3478</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3887</v>
      </c>
      <c r="H249" s="632" t="s">
        <v>537</v>
      </c>
      <c r="I249" s="638"/>
      <c r="J249" s="634" t="s">
        <v>3441</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3905</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3580</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3579</v>
      </c>
      <c r="K253" s="635"/>
      <c r="L253" s="626"/>
      <c r="M253" s="627"/>
      <c r="N253" s="636" t="s">
        <v>3628</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3627</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3629</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3887</v>
      </c>
      <c r="H256" s="632" t="s">
        <v>537</v>
      </c>
      <c r="I256" s="638"/>
      <c r="J256" s="634" t="s">
        <v>3630</v>
      </c>
      <c r="K256" s="635"/>
      <c r="L256" s="626"/>
      <c r="M256" s="627"/>
      <c r="N256" s="636" t="s">
        <v>3568</v>
      </c>
      <c r="O256" s="636" t="s">
        <v>3763</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3887</v>
      </c>
      <c r="H257" s="632" t="s">
        <v>537</v>
      </c>
      <c r="I257" s="638"/>
      <c r="J257" s="634" t="s">
        <v>3567</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3897</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3887</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3293</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3890</v>
      </c>
      <c r="H266" s="632" t="s">
        <v>537</v>
      </c>
      <c r="I266" s="638"/>
      <c r="J266" s="634" t="s">
        <v>3429</v>
      </c>
      <c r="K266" s="635"/>
      <c r="L266" s="626"/>
      <c r="M266" s="627"/>
      <c r="N266" s="636" t="s">
        <v>3430</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3431</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3893</v>
      </c>
      <c r="H268" s="632" t="s">
        <v>537</v>
      </c>
      <c r="I268" s="633"/>
      <c r="J268" s="634" t="s">
        <v>3432</v>
      </c>
      <c r="K268" s="635"/>
      <c r="L268" s="626"/>
      <c r="M268" s="627"/>
      <c r="N268" s="636" t="s">
        <v>3434</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3433</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3811</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3893</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3135</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3818</v>
      </c>
      <c r="P278" s="507" t="s">
        <v>2467</v>
      </c>
      <c r="Q278" s="631"/>
      <c r="S278" s="611"/>
      <c r="T278" s="611"/>
      <c r="U278" s="611"/>
      <c r="V278" s="611"/>
      <c r="W278" s="611"/>
      <c r="X278" s="611"/>
      <c r="Y278" s="611"/>
      <c r="Z278" s="611"/>
      <c r="AA278" s="611"/>
    </row>
    <row r="279" spans="1:27" ht="12" customHeight="1">
      <c r="A279" s="611"/>
      <c r="B279" s="640"/>
      <c r="C279" s="507" t="s">
        <v>2938</v>
      </c>
      <c r="D279" s="507" t="s">
        <v>2036</v>
      </c>
      <c r="E279" s="637" t="s">
        <v>1340</v>
      </c>
      <c r="F279" s="637"/>
      <c r="G279" s="631" t="s">
        <v>3912</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2939</v>
      </c>
      <c r="D280" s="507" t="s">
        <v>1872</v>
      </c>
      <c r="E280" s="630" t="s">
        <v>13</v>
      </c>
      <c r="F280" s="630"/>
      <c r="G280" s="631" t="s">
        <v>3892</v>
      </c>
      <c r="H280" s="632" t="s">
        <v>537</v>
      </c>
      <c r="I280" s="633"/>
      <c r="J280" s="634" t="s">
        <v>302</v>
      </c>
      <c r="K280" s="635"/>
      <c r="L280" s="626"/>
      <c r="M280" s="627"/>
      <c r="N280" s="636" t="s">
        <v>3156</v>
      </c>
      <c r="O280" s="636" t="s">
        <v>415</v>
      </c>
      <c r="P280" s="507" t="s">
        <v>2469</v>
      </c>
      <c r="Q280" s="631"/>
      <c r="S280" s="611"/>
      <c r="T280" s="611"/>
      <c r="U280" s="611"/>
      <c r="V280" s="611"/>
      <c r="W280" s="611"/>
      <c r="X280" s="611"/>
      <c r="Y280" s="611"/>
      <c r="Z280" s="611"/>
      <c r="AA280" s="611"/>
    </row>
    <row r="281" spans="1:27" ht="12" customHeight="1">
      <c r="A281" s="611"/>
      <c r="B281" s="640"/>
      <c r="C281" s="507" t="s">
        <v>2940</v>
      </c>
      <c r="D281" s="507" t="s">
        <v>2036</v>
      </c>
      <c r="E281" s="637" t="s">
        <v>1344</v>
      </c>
      <c r="F281" s="637"/>
      <c r="G281" s="631" t="s">
        <v>1051</v>
      </c>
      <c r="H281" s="632" t="s">
        <v>537</v>
      </c>
      <c r="I281" s="638"/>
      <c r="J281" s="634" t="s">
        <v>304</v>
      </c>
      <c r="K281" s="635"/>
      <c r="L281" s="626"/>
      <c r="M281" s="627"/>
      <c r="N281" s="636" t="s">
        <v>3158</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3160</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3155</v>
      </c>
      <c r="K283" s="635"/>
      <c r="L283" s="626"/>
      <c r="M283" s="627"/>
      <c r="N283" s="636" t="s">
        <v>3162</v>
      </c>
      <c r="O283" s="636" t="s">
        <v>3899</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3134</v>
      </c>
      <c r="F284" s="637"/>
      <c r="G284" s="631" t="s">
        <v>1054</v>
      </c>
      <c r="H284" s="632" t="s">
        <v>537</v>
      </c>
      <c r="I284" s="638"/>
      <c r="J284" s="634" t="s">
        <v>3157</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3159</v>
      </c>
      <c r="K285" s="635"/>
      <c r="L285" s="626"/>
      <c r="M285" s="627"/>
      <c r="N285" s="507" t="s">
        <v>3870</v>
      </c>
      <c r="O285" s="507" t="s">
        <v>3087</v>
      </c>
      <c r="P285" s="907" t="s">
        <v>3242</v>
      </c>
      <c r="Q285" s="631"/>
      <c r="S285" s="611"/>
      <c r="T285" s="611"/>
      <c r="U285" s="611"/>
      <c r="V285" s="611"/>
      <c r="W285" s="611"/>
      <c r="X285" s="611"/>
      <c r="Y285" s="611"/>
      <c r="Z285" s="611"/>
      <c r="AA285" s="611"/>
    </row>
    <row r="286" spans="1:27" ht="12" customHeight="1">
      <c r="A286" s="611"/>
      <c r="B286" s="640"/>
      <c r="C286" s="507" t="s">
        <v>3897</v>
      </c>
      <c r="D286" s="507" t="s">
        <v>2036</v>
      </c>
      <c r="E286" s="637" t="s">
        <v>3898</v>
      </c>
      <c r="F286" s="637"/>
      <c r="G286" s="631" t="s">
        <v>1056</v>
      </c>
      <c r="H286" s="632" t="s">
        <v>536</v>
      </c>
      <c r="I286" s="638"/>
      <c r="J286" s="634" t="s">
        <v>3161</v>
      </c>
      <c r="K286" s="635"/>
      <c r="L286" s="626"/>
      <c r="M286" s="627"/>
      <c r="N286" s="636" t="s">
        <v>3164</v>
      </c>
      <c r="O286" s="636" t="s">
        <v>257</v>
      </c>
      <c r="P286" s="507" t="s">
        <v>2474</v>
      </c>
      <c r="Q286" s="631"/>
      <c r="S286" s="611"/>
      <c r="T286" s="611"/>
      <c r="U286" s="611"/>
      <c r="V286" s="611"/>
      <c r="W286" s="611"/>
      <c r="X286" s="611"/>
      <c r="Y286" s="611"/>
      <c r="Z286" s="611"/>
      <c r="AA286" s="611"/>
    </row>
    <row r="287" spans="1:27" ht="12" customHeight="1">
      <c r="A287" s="611"/>
      <c r="B287" s="640"/>
      <c r="C287" s="507" t="s">
        <v>3899</v>
      </c>
      <c r="D287" s="507" t="s">
        <v>2012</v>
      </c>
      <c r="E287" s="630" t="s">
        <v>3900</v>
      </c>
      <c r="F287" s="630"/>
      <c r="G287" s="631" t="s">
        <v>3028</v>
      </c>
      <c r="H287" s="632" t="s">
        <v>537</v>
      </c>
      <c r="I287" s="633"/>
      <c r="J287" s="634" t="s">
        <v>3163</v>
      </c>
      <c r="K287" s="635"/>
      <c r="L287" s="626"/>
      <c r="M287" s="627"/>
      <c r="N287" s="636" t="s">
        <v>3166</v>
      </c>
      <c r="O287" s="636" t="s">
        <v>257</v>
      </c>
      <c r="P287" s="507" t="s">
        <v>2475</v>
      </c>
      <c r="Q287" s="631"/>
      <c r="S287" s="611"/>
      <c r="T287" s="611"/>
      <c r="U287" s="611"/>
      <c r="V287" s="611"/>
      <c r="W287" s="611"/>
      <c r="X287" s="611"/>
      <c r="Y287" s="611"/>
      <c r="Z287" s="611"/>
      <c r="AA287" s="611"/>
    </row>
    <row r="288" spans="1:27" ht="12" customHeight="1">
      <c r="A288" s="611"/>
      <c r="B288" s="640"/>
      <c r="C288" s="507" t="s">
        <v>3901</v>
      </c>
      <c r="D288" s="507" t="s">
        <v>2036</v>
      </c>
      <c r="E288" s="637" t="s">
        <v>217</v>
      </c>
      <c r="F288" s="637"/>
      <c r="G288" s="631" t="s">
        <v>2699</v>
      </c>
      <c r="H288" s="632" t="s">
        <v>537</v>
      </c>
      <c r="I288" s="638"/>
      <c r="J288" s="634" t="s">
        <v>3165</v>
      </c>
      <c r="K288" s="635"/>
      <c r="L288" s="626"/>
      <c r="M288" s="627"/>
      <c r="N288" s="636" t="s">
        <v>1021</v>
      </c>
      <c r="O288" s="636" t="s">
        <v>3087</v>
      </c>
      <c r="P288" s="507" t="s">
        <v>2476</v>
      </c>
      <c r="Q288" s="631"/>
      <c r="S288" s="611"/>
      <c r="T288" s="611"/>
      <c r="U288" s="611"/>
      <c r="V288" s="611"/>
      <c r="W288" s="611"/>
      <c r="X288" s="611"/>
      <c r="Y288" s="611"/>
      <c r="Z288" s="611"/>
      <c r="AA288" s="611"/>
    </row>
    <row r="289" spans="1:27" ht="12" customHeight="1">
      <c r="A289" s="611"/>
      <c r="B289" s="640"/>
      <c r="C289" s="507" t="s">
        <v>3902</v>
      </c>
      <c r="D289" s="507" t="s">
        <v>2036</v>
      </c>
      <c r="E289" s="637" t="s">
        <v>1339</v>
      </c>
      <c r="F289" s="637"/>
      <c r="G289" s="631" t="s">
        <v>3887</v>
      </c>
      <c r="H289" s="632" t="s">
        <v>537</v>
      </c>
      <c r="I289" s="638"/>
      <c r="J289" s="634" t="s">
        <v>1020</v>
      </c>
      <c r="K289" s="635"/>
      <c r="L289" s="626"/>
      <c r="M289" s="627"/>
      <c r="N289" s="636" t="s">
        <v>3477</v>
      </c>
      <c r="O289" s="636" t="s">
        <v>137</v>
      </c>
      <c r="P289" s="507" t="s">
        <v>2477</v>
      </c>
      <c r="Q289" s="631"/>
      <c r="S289" s="611"/>
      <c r="T289" s="611"/>
      <c r="U289" s="611"/>
      <c r="V289" s="611"/>
      <c r="W289" s="611"/>
      <c r="X289" s="611"/>
      <c r="Y289" s="611"/>
      <c r="Z289" s="611"/>
      <c r="AA289" s="611"/>
    </row>
    <row r="290" spans="1:27" ht="12" customHeight="1">
      <c r="A290" s="611"/>
      <c r="B290" s="640"/>
      <c r="C290" s="507" t="s">
        <v>3903</v>
      </c>
      <c r="D290" s="507" t="s">
        <v>2036</v>
      </c>
      <c r="E290" s="630" t="s">
        <v>3135</v>
      </c>
      <c r="F290" s="630"/>
      <c r="G290" s="631" t="s">
        <v>956</v>
      </c>
      <c r="H290" s="632" t="s">
        <v>537</v>
      </c>
      <c r="I290" s="633"/>
      <c r="J290" s="634" t="s">
        <v>3475</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3904</v>
      </c>
      <c r="D291" s="507" t="s">
        <v>2036</v>
      </c>
      <c r="E291" s="630" t="s">
        <v>3135</v>
      </c>
      <c r="F291" s="630"/>
      <c r="G291" s="631" t="s">
        <v>956</v>
      </c>
      <c r="H291" s="632" t="s">
        <v>537</v>
      </c>
      <c r="I291" s="633"/>
      <c r="J291" s="634" t="s">
        <v>3476</v>
      </c>
      <c r="K291" s="635"/>
      <c r="L291" s="626"/>
      <c r="M291" s="627"/>
      <c r="N291" s="636" t="s">
        <v>1927</v>
      </c>
      <c r="O291" s="636" t="s">
        <v>3373</v>
      </c>
      <c r="P291" s="507" t="s">
        <v>2479</v>
      </c>
      <c r="Q291" s="631"/>
      <c r="S291" s="611"/>
      <c r="T291" s="611"/>
      <c r="U291" s="611"/>
      <c r="V291" s="611"/>
      <c r="W291" s="611"/>
      <c r="X291" s="611"/>
      <c r="Y291" s="611"/>
      <c r="Z291" s="611"/>
      <c r="AA291" s="611"/>
    </row>
    <row r="292" spans="1:27" ht="12" customHeight="1">
      <c r="A292" s="611"/>
      <c r="B292" s="640"/>
      <c r="C292" s="507" t="s">
        <v>3905</v>
      </c>
      <c r="D292" s="507" t="s">
        <v>2012</v>
      </c>
      <c r="E292" s="637" t="s">
        <v>1339</v>
      </c>
      <c r="F292" s="637"/>
      <c r="G292" s="631" t="s">
        <v>3887</v>
      </c>
      <c r="H292" s="632" t="s">
        <v>537</v>
      </c>
      <c r="I292" s="638"/>
      <c r="J292" s="634" t="s">
        <v>1924</v>
      </c>
      <c r="K292" s="635"/>
      <c r="L292" s="626"/>
      <c r="M292" s="627"/>
      <c r="N292" s="636" t="s">
        <v>3759</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3029</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3887</v>
      </c>
      <c r="H294" s="632" t="s">
        <v>537</v>
      </c>
      <c r="I294" s="638"/>
      <c r="J294" s="634" t="s">
        <v>1928</v>
      </c>
      <c r="K294" s="635"/>
      <c r="L294" s="626"/>
      <c r="M294" s="627"/>
      <c r="N294" s="636" t="s">
        <v>3773</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3030</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3887</v>
      </c>
      <c r="H296" s="632" t="s">
        <v>537</v>
      </c>
      <c r="I296" s="638"/>
      <c r="J296" s="634" t="s">
        <v>1931</v>
      </c>
      <c r="K296" s="635"/>
      <c r="L296" s="626"/>
      <c r="M296" s="627"/>
      <c r="N296" s="636" t="s">
        <v>95</v>
      </c>
      <c r="O296" s="636" t="s">
        <v>3291</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3031</v>
      </c>
      <c r="H297" s="632" t="s">
        <v>536</v>
      </c>
      <c r="I297" s="633"/>
      <c r="J297" s="634" t="s">
        <v>3774</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3032</v>
      </c>
      <c r="H298" s="632" t="s">
        <v>536</v>
      </c>
      <c r="I298" s="638"/>
      <c r="J298" s="634" t="s">
        <v>92</v>
      </c>
      <c r="K298" s="635"/>
      <c r="L298" s="626"/>
      <c r="M298" s="627"/>
      <c r="N298" s="636" t="s">
        <v>1889</v>
      </c>
      <c r="O298" s="636" t="s">
        <v>3026</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3033</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906"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3291</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3912</v>
      </c>
      <c r="H303" s="632" t="s">
        <v>537</v>
      </c>
      <c r="I303" s="638"/>
      <c r="J303" s="634" t="s">
        <v>1890</v>
      </c>
      <c r="K303" s="635"/>
      <c r="L303" s="626"/>
      <c r="M303" s="627"/>
      <c r="N303" s="636" t="s">
        <v>3765</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3887</v>
      </c>
      <c r="H304" s="632" t="s">
        <v>537</v>
      </c>
      <c r="I304" s="638"/>
      <c r="J304" s="634" t="s">
        <v>1892</v>
      </c>
      <c r="K304" s="635"/>
      <c r="L304" s="626"/>
      <c r="M304" s="627"/>
      <c r="N304" s="636" t="s">
        <v>217</v>
      </c>
      <c r="O304" s="636" t="s">
        <v>3901</v>
      </c>
      <c r="P304" s="906"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3275</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3276</v>
      </c>
      <c r="D306" s="507" t="s">
        <v>1872</v>
      </c>
      <c r="E306" s="630" t="s">
        <v>3277</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3278</v>
      </c>
      <c r="D308" s="507" t="s">
        <v>1872</v>
      </c>
      <c r="E308" s="637" t="s">
        <v>3279</v>
      </c>
      <c r="F308" s="637"/>
      <c r="G308" s="631" t="s">
        <v>670</v>
      </c>
      <c r="H308" s="632" t="s">
        <v>536</v>
      </c>
      <c r="I308" s="638"/>
      <c r="J308" s="634" t="s">
        <v>1484</v>
      </c>
      <c r="K308" s="635"/>
      <c r="L308" s="626"/>
      <c r="M308" s="627"/>
      <c r="N308" s="507" t="s">
        <v>3871</v>
      </c>
      <c r="O308" s="507" t="s">
        <v>3759</v>
      </c>
      <c r="P308" s="907" t="s">
        <v>3242</v>
      </c>
      <c r="Q308" s="611"/>
      <c r="S308" s="611"/>
      <c r="T308" s="611"/>
      <c r="U308" s="611"/>
      <c r="V308" s="611"/>
      <c r="W308" s="611"/>
      <c r="X308" s="611"/>
      <c r="Y308" s="611"/>
      <c r="Z308" s="611"/>
      <c r="AA308" s="611"/>
    </row>
    <row r="309" spans="1:27" ht="12" customHeight="1">
      <c r="A309" s="611"/>
      <c r="B309" s="640"/>
      <c r="C309" s="507" t="s">
        <v>3280</v>
      </c>
      <c r="D309" s="507" t="s">
        <v>2036</v>
      </c>
      <c r="E309" s="637" t="s">
        <v>1339</v>
      </c>
      <c r="F309" s="637"/>
      <c r="G309" s="631" t="s">
        <v>3887</v>
      </c>
      <c r="H309" s="632" t="s">
        <v>537</v>
      </c>
      <c r="I309" s="638"/>
      <c r="J309" s="634" t="s">
        <v>1485</v>
      </c>
      <c r="K309" s="635"/>
      <c r="L309" s="626"/>
      <c r="M309" s="627"/>
      <c r="N309" s="636" t="s">
        <v>3241</v>
      </c>
      <c r="O309" s="636" t="s">
        <v>1741</v>
      </c>
      <c r="P309" s="507" t="s">
        <v>2494</v>
      </c>
      <c r="Q309" s="631"/>
      <c r="S309" s="611"/>
      <c r="T309" s="611"/>
      <c r="U309" s="611"/>
      <c r="V309" s="611"/>
      <c r="W309" s="611"/>
      <c r="X309" s="611"/>
      <c r="Y309" s="611"/>
      <c r="Z309" s="611"/>
      <c r="AA309" s="611"/>
    </row>
    <row r="310" spans="1:27" ht="12" customHeight="1">
      <c r="A310" s="611"/>
      <c r="B310" s="640"/>
      <c r="C310" s="507" t="s">
        <v>3281</v>
      </c>
      <c r="D310" s="507" t="s">
        <v>2012</v>
      </c>
      <c r="E310" s="637" t="s">
        <v>3282</v>
      </c>
      <c r="F310" s="637"/>
      <c r="G310" s="631" t="s">
        <v>284</v>
      </c>
      <c r="H310" s="632" t="s">
        <v>536</v>
      </c>
      <c r="I310" s="633"/>
      <c r="J310" s="634" t="s">
        <v>1487</v>
      </c>
      <c r="K310" s="635"/>
      <c r="L310" s="626"/>
      <c r="M310" s="627"/>
      <c r="N310" s="636" t="s">
        <v>3152</v>
      </c>
      <c r="O310" s="636" t="s">
        <v>2662</v>
      </c>
      <c r="P310" s="507" t="s">
        <v>2495</v>
      </c>
      <c r="Q310" s="631"/>
      <c r="S310" s="611"/>
      <c r="T310" s="611"/>
      <c r="U310" s="611"/>
      <c r="V310" s="611"/>
      <c r="W310" s="611"/>
      <c r="X310" s="611"/>
      <c r="Y310" s="611"/>
      <c r="Z310" s="611"/>
      <c r="AA310" s="611"/>
    </row>
    <row r="311" spans="1:27" ht="12" customHeight="1">
      <c r="A311" s="611"/>
      <c r="B311" s="640"/>
      <c r="C311" s="507" t="s">
        <v>3283</v>
      </c>
      <c r="D311" s="507" t="s">
        <v>1872</v>
      </c>
      <c r="E311" s="630" t="s">
        <v>3284</v>
      </c>
      <c r="F311" s="630"/>
      <c r="G311" s="631" t="s">
        <v>2134</v>
      </c>
      <c r="H311" s="632" t="s">
        <v>536</v>
      </c>
      <c r="I311" s="633"/>
      <c r="J311" s="634" t="s">
        <v>1489</v>
      </c>
      <c r="K311" s="635"/>
      <c r="L311" s="626"/>
      <c r="M311" s="627"/>
      <c r="N311" s="636" t="s">
        <v>3154</v>
      </c>
      <c r="O311" s="636" t="s">
        <v>3822</v>
      </c>
      <c r="P311" s="507" t="s">
        <v>2496</v>
      </c>
      <c r="Q311" s="631"/>
      <c r="S311" s="611"/>
      <c r="T311" s="611"/>
      <c r="U311" s="611"/>
      <c r="V311" s="611"/>
      <c r="W311" s="611"/>
      <c r="X311" s="611"/>
      <c r="Y311" s="611"/>
      <c r="Z311" s="611"/>
      <c r="AA311" s="611"/>
    </row>
    <row r="312" spans="1:27" ht="12" customHeight="1">
      <c r="A312" s="611"/>
      <c r="B312" s="640"/>
      <c r="C312" s="507" t="s">
        <v>3285</v>
      </c>
      <c r="D312" s="507" t="s">
        <v>1872</v>
      </c>
      <c r="E312" s="630" t="s">
        <v>3286</v>
      </c>
      <c r="F312" s="630"/>
      <c r="G312" s="631" t="s">
        <v>2135</v>
      </c>
      <c r="H312" s="632" t="s">
        <v>536</v>
      </c>
      <c r="I312" s="633"/>
      <c r="J312" s="634" t="s">
        <v>3239</v>
      </c>
      <c r="K312" s="635"/>
      <c r="L312" s="626"/>
      <c r="M312" s="627"/>
      <c r="N312" s="636" t="s">
        <v>1414</v>
      </c>
      <c r="O312" s="636" t="s">
        <v>413</v>
      </c>
      <c r="P312" s="906" t="s">
        <v>1412</v>
      </c>
      <c r="Q312" s="611"/>
      <c r="S312" s="611"/>
      <c r="T312" s="611"/>
      <c r="U312" s="611"/>
      <c r="V312" s="611"/>
      <c r="W312" s="611"/>
      <c r="X312" s="611"/>
      <c r="Y312" s="611"/>
      <c r="Z312" s="611"/>
      <c r="AA312" s="611"/>
    </row>
    <row r="313" spans="1:27" ht="12" customHeight="1">
      <c r="A313" s="611"/>
      <c r="B313" s="640"/>
      <c r="C313" s="507" t="s">
        <v>3287</v>
      </c>
      <c r="D313" s="507" t="s">
        <v>2036</v>
      </c>
      <c r="E313" s="630" t="s">
        <v>3288</v>
      </c>
      <c r="F313" s="630"/>
      <c r="G313" s="631" t="s">
        <v>2136</v>
      </c>
      <c r="H313" s="632" t="s">
        <v>536</v>
      </c>
      <c r="I313" s="633"/>
      <c r="J313" s="634" t="s">
        <v>3240</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3289</v>
      </c>
      <c r="D314" s="507" t="s">
        <v>2036</v>
      </c>
      <c r="E314" s="630" t="s">
        <v>3290</v>
      </c>
      <c r="F314" s="630"/>
      <c r="G314" s="631" t="s">
        <v>3093</v>
      </c>
      <c r="H314" s="632" t="s">
        <v>536</v>
      </c>
      <c r="I314" s="633"/>
      <c r="J314" s="634" t="s">
        <v>3151</v>
      </c>
      <c r="K314" s="635"/>
      <c r="L314" s="626"/>
      <c r="M314" s="627"/>
      <c r="N314" s="507" t="s">
        <v>3872</v>
      </c>
      <c r="O314" s="507" t="s">
        <v>2028</v>
      </c>
      <c r="P314" s="907" t="s">
        <v>3242</v>
      </c>
      <c r="Q314" s="631"/>
      <c r="S314" s="611"/>
      <c r="T314" s="611"/>
      <c r="U314" s="611"/>
      <c r="V314" s="611"/>
      <c r="W314" s="611"/>
      <c r="X314" s="611"/>
      <c r="Y314" s="611"/>
      <c r="Z314" s="611"/>
      <c r="AA314" s="611"/>
    </row>
    <row r="315" spans="1:27" ht="12" customHeight="1">
      <c r="A315" s="611"/>
      <c r="B315" s="640"/>
      <c r="C315" s="507" t="s">
        <v>3291</v>
      </c>
      <c r="D315" s="507" t="s">
        <v>1872</v>
      </c>
      <c r="E315" s="630" t="s">
        <v>3292</v>
      </c>
      <c r="F315" s="630"/>
      <c r="G315" s="631" t="s">
        <v>3094</v>
      </c>
      <c r="H315" s="632" t="s">
        <v>536</v>
      </c>
      <c r="I315" s="633"/>
      <c r="J315" s="634" t="s">
        <v>3153</v>
      </c>
      <c r="K315" s="635"/>
      <c r="L315" s="626"/>
      <c r="M315" s="627"/>
      <c r="N315" s="636" t="s">
        <v>934</v>
      </c>
      <c r="O315" s="636" t="s">
        <v>3902</v>
      </c>
      <c r="P315" s="507" t="s">
        <v>2498</v>
      </c>
      <c r="Q315" s="611"/>
      <c r="S315" s="611"/>
      <c r="T315" s="611"/>
      <c r="U315" s="611"/>
      <c r="V315" s="611"/>
      <c r="W315" s="611"/>
      <c r="X315" s="611"/>
      <c r="Y315" s="611"/>
      <c r="Z315" s="611"/>
      <c r="AA315" s="611"/>
    </row>
    <row r="316" spans="1:27" ht="12" customHeight="1">
      <c r="A316" s="611"/>
      <c r="B316" s="640"/>
      <c r="C316" s="507" t="s">
        <v>3293</v>
      </c>
      <c r="D316" s="507" t="s">
        <v>2036</v>
      </c>
      <c r="E316" s="630" t="s">
        <v>1461</v>
      </c>
      <c r="F316" s="630"/>
      <c r="G316" s="631" t="s">
        <v>3095</v>
      </c>
      <c r="H316" s="632" t="s">
        <v>536</v>
      </c>
      <c r="I316" s="633"/>
      <c r="J316" s="634" t="s">
        <v>930</v>
      </c>
      <c r="K316" s="635"/>
      <c r="L316" s="626"/>
      <c r="M316" s="627"/>
      <c r="N316" s="636" t="s">
        <v>3821</v>
      </c>
      <c r="O316" s="636" t="s">
        <v>3904</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3096</v>
      </c>
      <c r="H317" s="632" t="s">
        <v>536</v>
      </c>
      <c r="I317" s="638"/>
      <c r="J317" s="634" t="s">
        <v>931</v>
      </c>
      <c r="K317" s="635"/>
      <c r="L317" s="626"/>
      <c r="M317" s="627"/>
      <c r="N317" s="636" t="s">
        <v>938</v>
      </c>
      <c r="O317" s="636" t="s">
        <v>3289</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3097</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2979</v>
      </c>
      <c r="F320" s="637"/>
      <c r="G320" s="631" t="s">
        <v>1810</v>
      </c>
      <c r="H320" s="632" t="s">
        <v>536</v>
      </c>
      <c r="I320" s="638"/>
      <c r="J320" s="634" t="s">
        <v>936</v>
      </c>
      <c r="K320" s="635"/>
      <c r="L320" s="626"/>
      <c r="M320" s="627"/>
      <c r="N320" s="636" t="s">
        <v>843</v>
      </c>
      <c r="O320" s="636" t="s">
        <v>216</v>
      </c>
      <c r="P320" s="906" t="s">
        <v>1412</v>
      </c>
      <c r="Q320" s="631"/>
      <c r="S320" s="611"/>
      <c r="T320" s="611"/>
      <c r="U320" s="611"/>
      <c r="V320" s="611"/>
      <c r="W320" s="611"/>
      <c r="X320" s="611"/>
      <c r="Y320" s="611"/>
      <c r="Z320" s="611"/>
      <c r="AA320" s="611"/>
    </row>
    <row r="321" spans="1:27" ht="12" customHeight="1">
      <c r="A321" s="611"/>
      <c r="B321" s="640"/>
      <c r="C321" s="507" t="s">
        <v>2980</v>
      </c>
      <c r="D321" s="507" t="s">
        <v>1872</v>
      </c>
      <c r="E321" s="637" t="s">
        <v>2981</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2982</v>
      </c>
      <c r="D322" s="507" t="s">
        <v>2012</v>
      </c>
      <c r="E322" s="637" t="s">
        <v>2983</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2984</v>
      </c>
      <c r="D323" s="507" t="s">
        <v>1872</v>
      </c>
      <c r="E323" s="637" t="s">
        <v>2985</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2986</v>
      </c>
      <c r="D324" s="507" t="s">
        <v>2036</v>
      </c>
      <c r="E324" s="630" t="s">
        <v>2987</v>
      </c>
      <c r="F324" s="630"/>
      <c r="G324" s="631" t="s">
        <v>1814</v>
      </c>
      <c r="H324" s="632" t="s">
        <v>536</v>
      </c>
      <c r="I324" s="638"/>
      <c r="J324" s="634" t="s">
        <v>842</v>
      </c>
      <c r="K324" s="635"/>
      <c r="L324" s="626"/>
      <c r="M324" s="627"/>
      <c r="N324" s="636" t="s">
        <v>3042</v>
      </c>
      <c r="O324" s="636" t="s">
        <v>3373</v>
      </c>
      <c r="P324" s="507" t="s">
        <v>2506</v>
      </c>
      <c r="Q324" s="631"/>
      <c r="S324" s="611"/>
      <c r="T324" s="611"/>
      <c r="U324" s="611"/>
      <c r="V324" s="611"/>
      <c r="W324" s="611"/>
      <c r="X324" s="611"/>
      <c r="Y324" s="611"/>
      <c r="Z324" s="611"/>
      <c r="AA324" s="611"/>
    </row>
    <row r="325" spans="1:27" ht="12" customHeight="1">
      <c r="A325" s="611"/>
      <c r="B325" s="640"/>
      <c r="C325" s="507" t="s">
        <v>2988</v>
      </c>
      <c r="D325" s="507" t="s">
        <v>1872</v>
      </c>
      <c r="E325" s="637" t="s">
        <v>2989</v>
      </c>
      <c r="F325" s="637"/>
      <c r="G325" s="631" t="s">
        <v>1815</v>
      </c>
      <c r="H325" s="632" t="s">
        <v>536</v>
      </c>
      <c r="I325" s="638"/>
      <c r="J325" s="634" t="s">
        <v>1799</v>
      </c>
      <c r="K325" s="635"/>
      <c r="L325" s="626"/>
      <c r="M325" s="627"/>
      <c r="N325" s="636" t="s">
        <v>3044</v>
      </c>
      <c r="O325" s="636" t="s">
        <v>3905</v>
      </c>
      <c r="P325" s="507" t="s">
        <v>2507</v>
      </c>
      <c r="Q325" s="631"/>
      <c r="S325" s="611"/>
      <c r="T325" s="611"/>
      <c r="U325" s="611"/>
      <c r="V325" s="611"/>
      <c r="W325" s="611"/>
      <c r="X325" s="611"/>
      <c r="Y325" s="611"/>
      <c r="Z325" s="611"/>
      <c r="AA325" s="611"/>
    </row>
    <row r="326" spans="1:27" ht="12" customHeight="1">
      <c r="A326" s="611"/>
      <c r="B326" s="640"/>
      <c r="C326" s="507" t="s">
        <v>2990</v>
      </c>
      <c r="D326" s="507" t="s">
        <v>2036</v>
      </c>
      <c r="E326" s="637" t="s">
        <v>2021</v>
      </c>
      <c r="F326" s="637"/>
      <c r="G326" s="631" t="s">
        <v>3890</v>
      </c>
      <c r="H326" s="632" t="s">
        <v>537</v>
      </c>
      <c r="I326" s="638"/>
      <c r="J326" s="634" t="s">
        <v>1236</v>
      </c>
      <c r="K326" s="635"/>
      <c r="L326" s="626"/>
      <c r="M326" s="627"/>
      <c r="N326" s="636" t="s">
        <v>431</v>
      </c>
      <c r="O326" s="636" t="s">
        <v>3026</v>
      </c>
      <c r="P326" s="507" t="s">
        <v>2508</v>
      </c>
      <c r="Q326" s="631"/>
      <c r="S326" s="611"/>
      <c r="T326" s="611"/>
      <c r="U326" s="611"/>
      <c r="V326" s="611"/>
      <c r="W326" s="611"/>
      <c r="X326" s="611"/>
      <c r="Y326" s="611"/>
      <c r="Z326" s="611"/>
      <c r="AA326" s="611"/>
    </row>
    <row r="327" spans="1:27" ht="12" customHeight="1">
      <c r="A327" s="611"/>
      <c r="B327" s="640"/>
      <c r="C327" s="507" t="s">
        <v>2991</v>
      </c>
      <c r="D327" s="507" t="s">
        <v>2012</v>
      </c>
      <c r="E327" s="637" t="s">
        <v>2992</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3085</v>
      </c>
      <c r="D328" s="507" t="s">
        <v>2036</v>
      </c>
      <c r="E328" s="630" t="s">
        <v>3086</v>
      </c>
      <c r="F328" s="630"/>
      <c r="G328" s="631" t="s">
        <v>1817</v>
      </c>
      <c r="H328" s="632" t="s">
        <v>536</v>
      </c>
      <c r="I328" s="638"/>
      <c r="J328" s="634" t="s">
        <v>3041</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3087</v>
      </c>
      <c r="D329" s="507" t="s">
        <v>2012</v>
      </c>
      <c r="E329" s="637" t="s">
        <v>2271</v>
      </c>
      <c r="F329" s="637"/>
      <c r="G329" s="631" t="s">
        <v>2697</v>
      </c>
      <c r="H329" s="632" t="s">
        <v>537</v>
      </c>
      <c r="I329" s="638"/>
      <c r="J329" s="634" t="s">
        <v>3043</v>
      </c>
      <c r="K329" s="635"/>
      <c r="L329" s="626"/>
      <c r="M329" s="627"/>
      <c r="N329" s="636" t="s">
        <v>437</v>
      </c>
      <c r="O329" s="636" t="s">
        <v>3634</v>
      </c>
      <c r="P329" s="507" t="s">
        <v>2511</v>
      </c>
      <c r="Q329" s="631"/>
      <c r="S329" s="611"/>
      <c r="T329" s="611"/>
      <c r="U329" s="611"/>
      <c r="V329" s="611"/>
      <c r="W329" s="611"/>
      <c r="X329" s="611"/>
      <c r="Y329" s="611"/>
      <c r="Z329" s="611"/>
      <c r="AA329" s="611"/>
    </row>
    <row r="330" spans="1:27" ht="12" customHeight="1">
      <c r="A330" s="611"/>
      <c r="B330" s="640"/>
      <c r="C330" s="507" t="s">
        <v>3088</v>
      </c>
      <c r="D330" s="507" t="s">
        <v>2036</v>
      </c>
      <c r="E330" s="637" t="s">
        <v>1339</v>
      </c>
      <c r="F330" s="637"/>
      <c r="G330" s="631" t="s">
        <v>3887</v>
      </c>
      <c r="H330" s="632" t="s">
        <v>537</v>
      </c>
      <c r="I330" s="638"/>
      <c r="J330" s="634" t="s">
        <v>430</v>
      </c>
      <c r="K330" s="635"/>
      <c r="L330" s="626"/>
      <c r="M330" s="627"/>
      <c r="N330" s="636" t="s">
        <v>439</v>
      </c>
      <c r="O330" s="636" t="s">
        <v>2939</v>
      </c>
      <c r="P330" s="507" t="s">
        <v>2512</v>
      </c>
      <c r="Q330" s="631"/>
      <c r="S330" s="611"/>
      <c r="T330" s="611"/>
      <c r="U330" s="611"/>
      <c r="V330" s="611"/>
      <c r="W330" s="611"/>
      <c r="X330" s="611"/>
      <c r="Y330" s="611"/>
      <c r="Z330" s="611"/>
      <c r="AA330" s="611"/>
    </row>
    <row r="331" spans="1:27" ht="12" customHeight="1">
      <c r="A331" s="611"/>
      <c r="B331" s="640"/>
      <c r="C331" s="507" t="s">
        <v>3089</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3013</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3259</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3285</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3563</v>
      </c>
      <c r="H336" s="632" t="s">
        <v>536</v>
      </c>
      <c r="I336" s="638"/>
      <c r="J336" s="634" t="s">
        <v>3012</v>
      </c>
      <c r="K336" s="635"/>
      <c r="L336" s="626"/>
      <c r="M336" s="627"/>
      <c r="N336" s="636" t="s">
        <v>211</v>
      </c>
      <c r="O336" s="636" t="s">
        <v>2938</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3564</v>
      </c>
      <c r="H337" s="632" t="s">
        <v>536</v>
      </c>
      <c r="I337" s="633"/>
      <c r="J337" s="634" t="s">
        <v>3014</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3026</v>
      </c>
      <c r="D338" s="507" t="s">
        <v>2012</v>
      </c>
      <c r="E338" s="630" t="s">
        <v>431</v>
      </c>
      <c r="F338" s="630"/>
      <c r="G338" s="631" t="s">
        <v>3565</v>
      </c>
      <c r="H338" s="632" t="s">
        <v>537</v>
      </c>
      <c r="I338" s="638"/>
      <c r="J338" s="634" t="s">
        <v>3258</v>
      </c>
      <c r="K338" s="635"/>
      <c r="L338" s="626"/>
      <c r="M338" s="627"/>
      <c r="N338" s="507" t="s">
        <v>3873</v>
      </c>
      <c r="O338" s="507" t="s">
        <v>3089</v>
      </c>
      <c r="P338" s="907" t="s">
        <v>3242</v>
      </c>
      <c r="Q338" s="631"/>
      <c r="S338" s="611"/>
      <c r="T338" s="611"/>
      <c r="U338" s="611"/>
      <c r="V338" s="611"/>
      <c r="W338" s="611"/>
      <c r="X338" s="611"/>
      <c r="Y338" s="611"/>
      <c r="Z338" s="611"/>
      <c r="AA338" s="611"/>
    </row>
    <row r="339" spans="1:27" ht="12" customHeight="1">
      <c r="A339" s="611"/>
      <c r="B339" s="640"/>
      <c r="C339" s="507" t="s">
        <v>3027</v>
      </c>
      <c r="D339" s="507" t="s">
        <v>1872</v>
      </c>
      <c r="E339" s="637" t="s">
        <v>3631</v>
      </c>
      <c r="F339" s="637"/>
      <c r="G339" s="631" t="s">
        <v>3566</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3632</v>
      </c>
      <c r="D340" s="507" t="s">
        <v>2036</v>
      </c>
      <c r="E340" s="637" t="s">
        <v>3633</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3634</v>
      </c>
      <c r="D341" s="507" t="s">
        <v>2036</v>
      </c>
      <c r="E341" s="637" t="s">
        <v>3635</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3636</v>
      </c>
      <c r="D342" s="507" t="s">
        <v>1872</v>
      </c>
      <c r="E342" s="637" t="s">
        <v>2811</v>
      </c>
      <c r="F342" s="637"/>
      <c r="G342" s="631" t="s">
        <v>1804</v>
      </c>
      <c r="H342" s="632" t="s">
        <v>537</v>
      </c>
      <c r="I342" s="611"/>
      <c r="J342" s="634" t="s">
        <v>1372</v>
      </c>
      <c r="K342" s="635"/>
      <c r="L342" s="626"/>
      <c r="M342" s="627"/>
      <c r="N342" s="636" t="s">
        <v>3671</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3673</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3874</v>
      </c>
      <c r="O344" s="507" t="s">
        <v>1010</v>
      </c>
      <c r="P344" s="907"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484</v>
      </c>
      <c r="O345" s="636" t="s">
        <v>3765</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486</v>
      </c>
      <c r="O346" s="636" t="s">
        <v>3278</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1464</v>
      </c>
      <c r="O349" s="636" t="s">
        <v>3763</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2995</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964</v>
      </c>
      <c r="P351" s="907"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3876</v>
      </c>
      <c r="O359" s="507" t="s">
        <v>3280</v>
      </c>
      <c r="P359" s="907"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3877</v>
      </c>
      <c r="O360" s="507" t="s">
        <v>3820</v>
      </c>
      <c r="P360" s="907"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3801</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907"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907"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907"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907"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3760</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3412</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3620</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3759</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907"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3765</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3371</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3735</v>
      </c>
      <c r="O400" s="636" t="s">
        <v>2940</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3287</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906"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3291</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3088</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3634</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3820</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2940</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907"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3280</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3817</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2982</v>
      </c>
      <c r="P420" s="907"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3373</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3085</v>
      </c>
      <c r="P426" s="907"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3820</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3817</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3428</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3084</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2982</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1676</v>
      </c>
      <c r="O439" s="507" t="s">
        <v>1727</v>
      </c>
      <c r="P439" s="907"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3276</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3016</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3905</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3267</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2631</v>
      </c>
      <c r="O444" s="636" t="s">
        <v>2986</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3760</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3468</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3448</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3450</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1677</v>
      </c>
      <c r="O453" s="507" t="s">
        <v>2270</v>
      </c>
      <c r="P453" s="907"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1678</v>
      </c>
      <c r="O455" s="507" t="s">
        <v>3759</v>
      </c>
      <c r="P455" s="907"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907"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2990</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3380</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3088</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3762</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907"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3073</v>
      </c>
      <c r="O477" s="636" t="s">
        <v>3087</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2986</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968</v>
      </c>
      <c r="O479" s="636" t="s">
        <v>3759</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907"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1682</v>
      </c>
      <c r="O483" s="507" t="s">
        <v>1741</v>
      </c>
      <c r="P483" s="907"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3818</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3285</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3485</v>
      </c>
      <c r="O490" s="636" t="s">
        <v>3904</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3487</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1683</v>
      </c>
      <c r="O493" s="507" t="s">
        <v>3085</v>
      </c>
      <c r="P493" s="907"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3087</v>
      </c>
      <c r="P495" s="906"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906"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3088</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2940</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3087</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3759</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3283</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2940</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3772</v>
      </c>
      <c r="O510" s="636" t="s">
        <v>2980</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3762</v>
      </c>
      <c r="P511" s="907"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3897</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3291</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2940</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3902</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3762</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3281</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3817</v>
      </c>
      <c r="P520" s="907"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3904</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3634</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3470</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906"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3174</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3088</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907"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1686</v>
      </c>
      <c r="O546" s="507" t="s">
        <v>232</v>
      </c>
      <c r="P546" s="907"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3820</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3897</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3759</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3908</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3191</v>
      </c>
      <c r="O552" s="636" t="s">
        <v>3765</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1867</v>
      </c>
      <c r="P558" s="907"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906"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498</v>
      </c>
      <c r="O563" s="636" t="s">
        <v>3902</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3276</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3820</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2339</v>
      </c>
      <c r="O567" s="636" t="s">
        <v>3763</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3700</v>
      </c>
      <c r="O570" s="636" t="s">
        <v>3765</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907"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907"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907"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3903</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3276</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3283</v>
      </c>
      <c r="P586" s="906"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3404</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3406</v>
      </c>
      <c r="O588" s="636" t="s">
        <v>3280</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3902</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907"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3217</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2164</v>
      </c>
      <c r="O601" s="636" t="s">
        <v>415</v>
      </c>
      <c r="P601" s="627" t="s">
        <v>1164</v>
      </c>
      <c r="Q601" s="611"/>
      <c r="R601" s="507" t="s">
        <v>3866</v>
      </c>
      <c r="S601" s="507" t="s">
        <v>964</v>
      </c>
      <c r="T601" s="907"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907" t="s">
        <v>3242</v>
      </c>
      <c r="Q602" s="611"/>
      <c r="R602" s="507" t="s">
        <v>3867</v>
      </c>
      <c r="S602" s="507" t="s">
        <v>414</v>
      </c>
      <c r="T602" s="907"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3868</v>
      </c>
      <c r="S603" s="507" t="s">
        <v>3759</v>
      </c>
      <c r="T603" s="907"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3869</v>
      </c>
      <c r="S604" s="507"/>
      <c r="T604" s="907"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3148</v>
      </c>
      <c r="O605" s="636" t="s">
        <v>1549</v>
      </c>
      <c r="P605" s="627" t="s">
        <v>1167</v>
      </c>
      <c r="Q605" s="611"/>
      <c r="R605" s="507" t="s">
        <v>3870</v>
      </c>
      <c r="S605" s="507" t="s">
        <v>3087</v>
      </c>
      <c r="T605" s="907"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1168</v>
      </c>
      <c r="Q606" s="611"/>
      <c r="R606" s="507" t="s">
        <v>3871</v>
      </c>
      <c r="S606" s="507" t="s">
        <v>3759</v>
      </c>
      <c r="T606" s="907"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369</v>
      </c>
      <c r="O607" s="636" t="s">
        <v>3027</v>
      </c>
      <c r="P607" s="627" t="s">
        <v>1169</v>
      </c>
      <c r="Q607" s="611"/>
      <c r="R607" s="507" t="s">
        <v>3872</v>
      </c>
      <c r="S607" s="507" t="s">
        <v>2028</v>
      </c>
      <c r="T607" s="907"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3285</v>
      </c>
      <c r="P608" s="627" t="s">
        <v>1170</v>
      </c>
      <c r="Q608" s="611"/>
      <c r="R608" s="507" t="s">
        <v>3873</v>
      </c>
      <c r="S608" s="507" t="s">
        <v>3089</v>
      </c>
      <c r="T608" s="907"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3874</v>
      </c>
      <c r="S609" s="507" t="s">
        <v>1010</v>
      </c>
      <c r="T609" s="907"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3875</v>
      </c>
      <c r="S610" s="507" t="s">
        <v>964</v>
      </c>
      <c r="T610" s="907"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3876</v>
      </c>
      <c r="S611" s="507" t="s">
        <v>3280</v>
      </c>
      <c r="T611" s="907"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3877</v>
      </c>
      <c r="S612" s="507" t="s">
        <v>3820</v>
      </c>
      <c r="T612" s="907"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3902</v>
      </c>
      <c r="P613" s="627" t="s">
        <v>1175</v>
      </c>
      <c r="Q613" s="611"/>
      <c r="R613" s="507" t="s">
        <v>3373</v>
      </c>
      <c r="S613" s="507" t="s">
        <v>3817</v>
      </c>
      <c r="T613" s="907"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3636</v>
      </c>
      <c r="P614" s="627" t="s">
        <v>1176</v>
      </c>
      <c r="Q614" s="611"/>
      <c r="R614" s="507" t="s">
        <v>3878</v>
      </c>
      <c r="S614" s="507" t="s">
        <v>3280</v>
      </c>
      <c r="T614" s="907"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3762</v>
      </c>
      <c r="P615" s="627" t="s">
        <v>1177</v>
      </c>
      <c r="Q615" s="611"/>
      <c r="R615" s="507" t="s">
        <v>3879</v>
      </c>
      <c r="S615" s="507" t="s">
        <v>3762</v>
      </c>
      <c r="T615" s="907"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906" t="s">
        <v>1412</v>
      </c>
      <c r="Q616" s="611"/>
      <c r="R616" s="507" t="s">
        <v>3880</v>
      </c>
      <c r="S616" s="507" t="s">
        <v>3087</v>
      </c>
      <c r="T616" s="907"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907"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907" t="s">
        <v>3242</v>
      </c>
      <c r="Q618" s="611"/>
      <c r="R618" s="507" t="s">
        <v>1498</v>
      </c>
      <c r="S618" s="507" t="s">
        <v>1734</v>
      </c>
      <c r="T618" s="907"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907"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2982</v>
      </c>
      <c r="T620" s="907"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907" t="s">
        <v>3242</v>
      </c>
      <c r="Q621" s="611"/>
      <c r="R621" s="507" t="s">
        <v>1675</v>
      </c>
      <c r="S621" s="507" t="s">
        <v>3085</v>
      </c>
      <c r="T621" s="907"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907"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1181</v>
      </c>
      <c r="Q623" s="908"/>
      <c r="R623" s="507" t="s">
        <v>1677</v>
      </c>
      <c r="S623" s="507" t="s">
        <v>2270</v>
      </c>
      <c r="T623" s="907"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1182</v>
      </c>
      <c r="Q624" s="611"/>
      <c r="R624" s="507" t="s">
        <v>1678</v>
      </c>
      <c r="S624" s="507" t="s">
        <v>3759</v>
      </c>
      <c r="T624" s="907"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907" t="s">
        <v>3242</v>
      </c>
      <c r="Q625" s="611"/>
      <c r="R625" s="507" t="s">
        <v>1679</v>
      </c>
      <c r="S625" s="507" t="s">
        <v>215</v>
      </c>
      <c r="T625" s="907"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1695</v>
      </c>
      <c r="O626" s="507" t="s">
        <v>411</v>
      </c>
      <c r="P626" s="907" t="s">
        <v>3242</v>
      </c>
      <c r="Q626" s="611"/>
      <c r="R626" s="507" t="s">
        <v>1680</v>
      </c>
      <c r="S626" s="507" t="s">
        <v>2035</v>
      </c>
      <c r="T626" s="907"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2028</v>
      </c>
      <c r="P627" s="627" t="s">
        <v>1183</v>
      </c>
      <c r="Q627" s="611"/>
      <c r="R627" s="507" t="s">
        <v>1681</v>
      </c>
      <c r="S627" s="507" t="s">
        <v>2270</v>
      </c>
      <c r="T627" s="907"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1184</v>
      </c>
      <c r="Q628" s="611"/>
      <c r="R628" s="507" t="s">
        <v>1682</v>
      </c>
      <c r="S628" s="507" t="s">
        <v>1741</v>
      </c>
      <c r="T628" s="907"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1185</v>
      </c>
      <c r="Q629" s="611"/>
      <c r="R629" s="507" t="s">
        <v>1683</v>
      </c>
      <c r="S629" s="507" t="s">
        <v>3085</v>
      </c>
      <c r="T629" s="907"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2178</v>
      </c>
      <c r="P630" s="627" t="s">
        <v>1186</v>
      </c>
      <c r="Q630" s="611"/>
      <c r="R630" s="636" t="s">
        <v>1416</v>
      </c>
      <c r="S630" s="636" t="s">
        <v>1464</v>
      </c>
      <c r="T630" s="907"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1011</v>
      </c>
      <c r="P631" s="627" t="s">
        <v>1187</v>
      </c>
      <c r="Q631" s="611"/>
      <c r="R631" s="507" t="s">
        <v>1684</v>
      </c>
      <c r="S631" s="507" t="s">
        <v>3762</v>
      </c>
      <c r="T631" s="907"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1188</v>
      </c>
      <c r="Q632" s="611"/>
      <c r="R632" s="507" t="s">
        <v>2369</v>
      </c>
      <c r="S632" s="507" t="s">
        <v>3817</v>
      </c>
      <c r="T632" s="907"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3293</v>
      </c>
      <c r="P633" s="627" t="s">
        <v>1189</v>
      </c>
      <c r="Q633" s="611"/>
      <c r="R633" s="507" t="s">
        <v>1685</v>
      </c>
      <c r="S633" s="507"/>
      <c r="T633" s="907"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907"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907"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3283</v>
      </c>
      <c r="P636" s="627" t="s">
        <v>1192</v>
      </c>
      <c r="Q636" s="611"/>
      <c r="R636" s="507" t="s">
        <v>3418</v>
      </c>
      <c r="S636" s="507" t="s">
        <v>1867</v>
      </c>
      <c r="T636" s="907"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907"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907"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907"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907"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3759</v>
      </c>
      <c r="P641" s="627" t="s">
        <v>1197</v>
      </c>
      <c r="Q641" s="611"/>
      <c r="R641" s="507" t="s">
        <v>1691</v>
      </c>
      <c r="S641" s="507" t="s">
        <v>2664</v>
      </c>
      <c r="T641" s="907"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3765</v>
      </c>
      <c r="P642" s="627" t="s">
        <v>1198</v>
      </c>
      <c r="Q642" s="611"/>
      <c r="R642" s="507" t="s">
        <v>1692</v>
      </c>
      <c r="S642" s="507" t="s">
        <v>1551</v>
      </c>
      <c r="T642" s="907"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3821</v>
      </c>
      <c r="P643" s="627" t="s">
        <v>1199</v>
      </c>
      <c r="Q643" s="611"/>
      <c r="R643" s="507" t="s">
        <v>1693</v>
      </c>
      <c r="S643" s="507" t="s">
        <v>137</v>
      </c>
      <c r="T643" s="907"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907" t="s">
        <v>3242</v>
      </c>
      <c r="Q644" s="611"/>
      <c r="R644" s="507" t="s">
        <v>1694</v>
      </c>
      <c r="S644" s="507" t="s">
        <v>964</v>
      </c>
      <c r="T644" s="907"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3027</v>
      </c>
      <c r="P645" s="627" t="s">
        <v>1200</v>
      </c>
      <c r="Q645" s="611"/>
      <c r="R645" s="507" t="s">
        <v>1695</v>
      </c>
      <c r="S645" s="507" t="s">
        <v>411</v>
      </c>
      <c r="T645" s="907"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907"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3398</v>
      </c>
      <c r="O647" s="636" t="s">
        <v>3276</v>
      </c>
      <c r="P647" s="627" t="s">
        <v>1202</v>
      </c>
      <c r="Q647" s="611"/>
      <c r="R647" s="507" t="s">
        <v>1420</v>
      </c>
      <c r="S647" s="507" t="s">
        <v>2014</v>
      </c>
      <c r="T647" s="907"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1002</v>
      </c>
      <c r="P648" s="627" t="s">
        <v>1203</v>
      </c>
      <c r="Q648" s="611"/>
      <c r="R648" s="507" t="s">
        <v>1697</v>
      </c>
      <c r="S648" s="507" t="s">
        <v>1010</v>
      </c>
      <c r="T648" s="907"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2799</v>
      </c>
      <c r="O649" s="636" t="s">
        <v>1222</v>
      </c>
      <c r="P649" s="627" t="s">
        <v>1204</v>
      </c>
      <c r="Q649" s="611"/>
      <c r="R649" s="507" t="s">
        <v>1698</v>
      </c>
      <c r="S649" s="507" t="s">
        <v>2270</v>
      </c>
      <c r="T649" s="907"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3808</v>
      </c>
      <c r="O650" s="636" t="s">
        <v>3087</v>
      </c>
      <c r="P650" s="627" t="s">
        <v>1205</v>
      </c>
      <c r="Q650" s="611"/>
      <c r="R650" s="507" t="s">
        <v>1699</v>
      </c>
      <c r="S650" s="507" t="s">
        <v>964</v>
      </c>
      <c r="T650" s="907"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1867</v>
      </c>
      <c r="P651" s="627" t="s">
        <v>1206</v>
      </c>
      <c r="Q651" s="611"/>
      <c r="R651" s="507" t="s">
        <v>1700</v>
      </c>
      <c r="S651" s="507" t="s">
        <v>1002</v>
      </c>
      <c r="T651" s="907"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2515</v>
      </c>
      <c r="O652" s="636" t="s">
        <v>1004</v>
      </c>
      <c r="P652" s="627" t="s">
        <v>747</v>
      </c>
      <c r="Q652" s="611"/>
      <c r="R652" s="507" t="s">
        <v>1701</v>
      </c>
      <c r="S652" s="507" t="s">
        <v>215</v>
      </c>
      <c r="T652" s="907"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906" t="s">
        <v>1412</v>
      </c>
      <c r="Q653" s="611"/>
      <c r="R653" s="507" t="s">
        <v>1702</v>
      </c>
      <c r="S653" s="507" t="s">
        <v>2982</v>
      </c>
      <c r="T653" s="907"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907" t="s">
        <v>3242</v>
      </c>
      <c r="Q654" s="611"/>
      <c r="R654" s="507" t="s">
        <v>1703</v>
      </c>
      <c r="S654" s="507" t="s">
        <v>3085</v>
      </c>
      <c r="T654" s="907"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3897</v>
      </c>
      <c r="P655" s="627" t="s">
        <v>748</v>
      </c>
      <c r="Q655" s="611"/>
      <c r="R655" s="507" t="s">
        <v>1704</v>
      </c>
      <c r="S655" s="507" t="s">
        <v>964</v>
      </c>
      <c r="T655" s="907"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907"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907" t="s">
        <v>3242</v>
      </c>
      <c r="Q657" s="611"/>
      <c r="R657" s="507" t="s">
        <v>1706</v>
      </c>
      <c r="S657" s="507" t="s">
        <v>3762</v>
      </c>
      <c r="T657" s="907"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3661</v>
      </c>
      <c r="O658" s="636" t="s">
        <v>120</v>
      </c>
      <c r="P658" s="627" t="s">
        <v>749</v>
      </c>
      <c r="Q658" s="611"/>
      <c r="R658" s="507" t="s">
        <v>1707</v>
      </c>
      <c r="S658" s="507" t="s">
        <v>215</v>
      </c>
      <c r="T658" s="907"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907"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2003</v>
      </c>
      <c r="O660" s="636" t="s">
        <v>2980</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3815</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1699</v>
      </c>
      <c r="O665" s="507" t="s">
        <v>964</v>
      </c>
      <c r="P665" s="907"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3820</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907"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3289</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3820</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3070</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907"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2947</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742</v>
      </c>
      <c r="O681" s="636" t="s">
        <v>3088</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3827</v>
      </c>
      <c r="O683" s="636" t="s">
        <v>3818</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1697</v>
      </c>
      <c r="O687" s="507" t="s">
        <v>1010</v>
      </c>
      <c r="P687" s="907"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3198</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1532</v>
      </c>
      <c r="O691" s="636" t="s">
        <v>3371</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3782</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2963</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2966</v>
      </c>
      <c r="O695" s="636" t="s">
        <v>3371</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2968</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3636</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1399</v>
      </c>
      <c r="O698" s="636" t="s">
        <v>3280</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1702</v>
      </c>
      <c r="O699" s="507" t="s">
        <v>2982</v>
      </c>
      <c r="P699" s="907"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1703</v>
      </c>
      <c r="O700" s="507" t="s">
        <v>3085</v>
      </c>
      <c r="P700" s="907"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2123</v>
      </c>
      <c r="O703" s="636" t="s">
        <v>3371</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3387</v>
      </c>
      <c r="O704" s="636" t="s">
        <v>2988</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3389</v>
      </c>
      <c r="O705" s="636" t="s">
        <v>3276</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3391</v>
      </c>
      <c r="O706" s="636" t="s">
        <v>3636</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1747</v>
      </c>
      <c r="O707" s="636" t="s">
        <v>3287</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3140</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418</v>
      </c>
      <c r="P711" s="627" t="s">
        <v>560</v>
      </c>
      <c r="Q711" s="90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1421</v>
      </c>
      <c r="O716" s="636" t="s">
        <v>3085</v>
      </c>
      <c r="P716" s="906"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3224</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3479</v>
      </c>
      <c r="O719" s="636" t="s">
        <v>2938</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7"/>
      <c r="K722" s="1008"/>
      <c r="L722" s="1008"/>
      <c r="M722" s="1009"/>
      <c r="N722" s="636" t="s">
        <v>3482</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3634</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907"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3026</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3820</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3371</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907"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3026</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2980</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906"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3762</v>
      </c>
      <c r="P747" s="907"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3088</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2940</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3636</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3903</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3089</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2986</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906"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907"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907"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2940</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3287</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3085</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2982</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A192" sqref="A1:XFD104857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8" width="6.28515625" style="482" customWidth="1"/>
    <col min="19" max="19" width="11.28515625" style="482" customWidth="1"/>
    <col min="20" max="16384" width="9.140625" style="482"/>
  </cols>
  <sheetData>
    <row r="1" spans="1:19" s="458" customFormat="1" ht="13.9" customHeight="1">
      <c r="A1" s="1111" t="str">
        <f>CONCATENATE("PART TWO - DEVELOPMENT TEAM INFORMATION","  -  ",'Part I-Project Information'!$O$4," ",'Part I-Project Information'!$F$22,", ",'Part I-Project Information'!F24,", ",'Part I-Project Information'!J25," County")</f>
        <v>PART TWO - DEVELOPMENT TEAM INFORMATION  -  2011-012 Veteran Senior Housing - Assisted Living, Decatur, DeKalb County</v>
      </c>
      <c r="B1" s="1112"/>
      <c r="C1" s="1112"/>
      <c r="D1" s="1112"/>
      <c r="E1" s="1112"/>
      <c r="F1" s="1112"/>
      <c r="G1" s="1112"/>
      <c r="H1" s="1112"/>
      <c r="I1" s="1112"/>
      <c r="J1" s="1112"/>
      <c r="K1" s="1112"/>
      <c r="L1" s="1112"/>
      <c r="M1" s="1112"/>
      <c r="N1" s="1112"/>
      <c r="O1" s="1112"/>
      <c r="P1" s="1112"/>
      <c r="Q1" s="1112"/>
      <c r="R1" s="1112"/>
      <c r="S1" s="1113"/>
    </row>
    <row r="3" spans="1:19" s="458" customFormat="1" ht="13.15" customHeight="1">
      <c r="A3" s="461" t="s">
        <v>950</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971" t="s">
        <v>3934</v>
      </c>
      <c r="I5" s="972"/>
      <c r="J5" s="972"/>
      <c r="K5" s="972"/>
      <c r="L5" s="972"/>
      <c r="M5" s="972"/>
      <c r="N5" s="973"/>
      <c r="O5" s="713" t="s">
        <v>3067</v>
      </c>
      <c r="P5" s="713"/>
      <c r="Q5" s="971" t="s">
        <v>3935</v>
      </c>
      <c r="R5" s="972"/>
      <c r="S5" s="973"/>
    </row>
    <row r="6" spans="1:19" s="458" customFormat="1" ht="12.6" customHeight="1">
      <c r="D6" s="508"/>
      <c r="E6" s="464" t="s">
        <v>1641</v>
      </c>
      <c r="F6" s="472"/>
      <c r="H6" s="971" t="s">
        <v>3923</v>
      </c>
      <c r="I6" s="972"/>
      <c r="J6" s="972"/>
      <c r="K6" s="972"/>
      <c r="L6" s="972"/>
      <c r="M6" s="972"/>
      <c r="N6" s="973"/>
      <c r="O6" s="713" t="s">
        <v>2775</v>
      </c>
      <c r="Q6" s="971" t="s">
        <v>3929</v>
      </c>
      <c r="R6" s="972"/>
      <c r="S6" s="973"/>
    </row>
    <row r="7" spans="1:19" s="458" customFormat="1" ht="12.6" customHeight="1">
      <c r="D7" s="508"/>
      <c r="E7" s="464" t="s">
        <v>953</v>
      </c>
      <c r="H7" s="971" t="s">
        <v>1866</v>
      </c>
      <c r="I7" s="972"/>
      <c r="J7" s="973"/>
      <c r="K7" s="884" t="s">
        <v>1254</v>
      </c>
      <c r="L7" s="971"/>
      <c r="M7" s="972"/>
      <c r="N7" s="973"/>
      <c r="O7" s="713" t="s">
        <v>2834</v>
      </c>
      <c r="Q7" s="968">
        <v>4042241861</v>
      </c>
      <c r="R7" s="969"/>
      <c r="S7" s="970"/>
    </row>
    <row r="8" spans="1:19" s="458" customFormat="1" ht="12.6" customHeight="1">
      <c r="D8" s="508"/>
      <c r="E8" s="464" t="s">
        <v>2830</v>
      </c>
      <c r="H8" s="880" t="s">
        <v>1438</v>
      </c>
      <c r="I8" s="723" t="s">
        <v>1973</v>
      </c>
      <c r="J8" s="985">
        <v>303030000</v>
      </c>
      <c r="K8" s="973"/>
      <c r="L8" s="398" t="s">
        <v>1976</v>
      </c>
      <c r="N8" s="885"/>
      <c r="O8" s="713" t="s">
        <v>3056</v>
      </c>
      <c r="Q8" s="968"/>
      <c r="R8" s="969"/>
      <c r="S8" s="970"/>
    </row>
    <row r="9" spans="1:19" s="458" customFormat="1" ht="12.6" customHeight="1">
      <c r="D9" s="508"/>
      <c r="E9" s="464" t="s">
        <v>3062</v>
      </c>
      <c r="H9" s="968">
        <v>4042241860</v>
      </c>
      <c r="I9" s="970"/>
      <c r="J9" s="886">
        <v>1861</v>
      </c>
      <c r="K9" s="723" t="s">
        <v>2833</v>
      </c>
      <c r="L9" s="974">
        <v>4042241899</v>
      </c>
      <c r="M9" s="973"/>
      <c r="N9" s="466" t="s">
        <v>3061</v>
      </c>
      <c r="O9" s="975" t="s">
        <v>3936</v>
      </c>
      <c r="P9" s="992"/>
      <c r="Q9" s="992"/>
      <c r="R9" s="992"/>
      <c r="S9" s="976"/>
    </row>
    <row r="10" spans="1:19" s="458" customFormat="1" ht="13.15" customHeight="1">
      <c r="D10" s="508"/>
      <c r="E10" s="441" t="s">
        <v>997</v>
      </c>
      <c r="H10" s="501"/>
      <c r="L10" s="550" t="s">
        <v>1974</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1971</v>
      </c>
      <c r="O12" s="1110" t="s">
        <v>1972</v>
      </c>
      <c r="P12" s="1110"/>
      <c r="Q12" s="1110"/>
      <c r="R12" s="1110"/>
      <c r="S12" s="1110"/>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1975</v>
      </c>
      <c r="M14" s="482"/>
      <c r="O14" s="1126" t="s">
        <v>1970</v>
      </c>
      <c r="P14" s="1126"/>
      <c r="Q14" s="1126"/>
      <c r="R14" s="1126"/>
      <c r="S14" s="1126"/>
    </row>
    <row r="15" spans="1:19" s="458" customFormat="1" ht="4.1500000000000004" customHeight="1">
      <c r="D15" s="510"/>
      <c r="E15" s="511"/>
      <c r="H15" s="887"/>
      <c r="I15" s="887"/>
      <c r="J15" s="887"/>
      <c r="K15" s="714"/>
      <c r="L15" s="887"/>
      <c r="M15" s="887"/>
      <c r="N15" s="714"/>
      <c r="O15" s="888"/>
      <c r="P15" s="888"/>
      <c r="Q15" s="723"/>
      <c r="R15" s="888"/>
      <c r="S15" s="888"/>
    </row>
    <row r="16" spans="1:19" s="458" customFormat="1" ht="12.6" customHeight="1">
      <c r="D16" s="461" t="s">
        <v>3213</v>
      </c>
      <c r="E16" s="458" t="s">
        <v>2911</v>
      </c>
      <c r="H16" s="971" t="s">
        <v>3937</v>
      </c>
      <c r="I16" s="972"/>
      <c r="J16" s="972"/>
      <c r="K16" s="972"/>
      <c r="L16" s="972"/>
      <c r="M16" s="972"/>
      <c r="N16" s="973"/>
      <c r="O16" s="713" t="s">
        <v>3067</v>
      </c>
      <c r="P16" s="713"/>
      <c r="Q16" s="971" t="s">
        <v>3935</v>
      </c>
      <c r="R16" s="972"/>
      <c r="S16" s="973"/>
    </row>
    <row r="17" spans="4:19" s="458" customFormat="1" ht="12.6" customHeight="1">
      <c r="D17" s="508"/>
      <c r="E17" s="464" t="s">
        <v>1641</v>
      </c>
      <c r="F17" s="472"/>
      <c r="H17" s="971" t="s">
        <v>3923</v>
      </c>
      <c r="I17" s="972"/>
      <c r="J17" s="972"/>
      <c r="K17" s="972"/>
      <c r="L17" s="972"/>
      <c r="M17" s="972"/>
      <c r="N17" s="973"/>
      <c r="O17" s="713" t="s">
        <v>2775</v>
      </c>
      <c r="Q17" s="971" t="s">
        <v>3929</v>
      </c>
      <c r="R17" s="972"/>
      <c r="S17" s="973"/>
    </row>
    <row r="18" spans="4:19" s="458" customFormat="1" ht="12.6" customHeight="1">
      <c r="D18" s="508"/>
      <c r="E18" s="464" t="s">
        <v>953</v>
      </c>
      <c r="H18" s="971" t="s">
        <v>1866</v>
      </c>
      <c r="I18" s="977"/>
      <c r="J18" s="978"/>
      <c r="O18" s="713" t="s">
        <v>2834</v>
      </c>
      <c r="Q18" s="968">
        <v>4042241861</v>
      </c>
      <c r="R18" s="969"/>
      <c r="S18" s="970"/>
    </row>
    <row r="19" spans="4:19" s="458" customFormat="1" ht="12.6" customHeight="1">
      <c r="D19" s="461"/>
      <c r="E19" s="464" t="s">
        <v>2830</v>
      </c>
      <c r="H19" s="880" t="s">
        <v>1438</v>
      </c>
      <c r="I19" s="723" t="s">
        <v>1973</v>
      </c>
      <c r="J19" s="985">
        <v>303030000</v>
      </c>
      <c r="K19" s="993"/>
      <c r="L19" s="398" t="s">
        <v>1976</v>
      </c>
      <c r="N19" s="885"/>
      <c r="O19" s="713" t="s">
        <v>3056</v>
      </c>
      <c r="Q19" s="968"/>
      <c r="R19" s="969"/>
      <c r="S19" s="970"/>
    </row>
    <row r="20" spans="4:19" s="458" customFormat="1" ht="12.6" customHeight="1">
      <c r="D20" s="508"/>
      <c r="E20" s="464" t="s">
        <v>3062</v>
      </c>
      <c r="H20" s="968">
        <v>4042251860</v>
      </c>
      <c r="I20" s="970"/>
      <c r="J20" s="886">
        <v>1861</v>
      </c>
      <c r="K20" s="723" t="s">
        <v>2833</v>
      </c>
      <c r="L20" s="974">
        <v>4042241899</v>
      </c>
      <c r="M20" s="982"/>
      <c r="N20" s="466" t="s">
        <v>3061</v>
      </c>
      <c r="O20" s="975" t="s">
        <v>3936</v>
      </c>
      <c r="P20" s="992"/>
      <c r="Q20" s="992"/>
      <c r="R20" s="992"/>
      <c r="S20" s="976"/>
    </row>
    <row r="21" spans="4:19" ht="4.1500000000000004" customHeight="1">
      <c r="D21" s="491"/>
      <c r="H21" s="889"/>
      <c r="I21" s="889"/>
      <c r="J21" s="889"/>
      <c r="K21" s="723"/>
      <c r="L21" s="889"/>
      <c r="M21" s="889"/>
      <c r="N21" s="714"/>
      <c r="O21" s="888"/>
      <c r="P21" s="888"/>
      <c r="Q21" s="723"/>
      <c r="R21" s="888"/>
      <c r="S21" s="888"/>
    </row>
    <row r="22" spans="4:19" s="458" customFormat="1" ht="12.6" customHeight="1">
      <c r="D22" s="461" t="s">
        <v>3214</v>
      </c>
      <c r="E22" s="458" t="s">
        <v>2912</v>
      </c>
      <c r="F22" s="721"/>
      <c r="H22" s="971"/>
      <c r="I22" s="972"/>
      <c r="J22" s="972"/>
      <c r="K22" s="972"/>
      <c r="L22" s="972"/>
      <c r="M22" s="972"/>
      <c r="N22" s="973"/>
      <c r="O22" s="713" t="s">
        <v>3067</v>
      </c>
      <c r="P22" s="713"/>
      <c r="Q22" s="971"/>
      <c r="R22" s="972"/>
      <c r="S22" s="973"/>
    </row>
    <row r="23" spans="4:19" s="458" customFormat="1" ht="12.6" customHeight="1">
      <c r="D23" s="508"/>
      <c r="E23" s="464" t="s">
        <v>1641</v>
      </c>
      <c r="F23" s="472"/>
      <c r="H23" s="971"/>
      <c r="I23" s="972"/>
      <c r="J23" s="972"/>
      <c r="K23" s="972"/>
      <c r="L23" s="972"/>
      <c r="M23" s="972"/>
      <c r="N23" s="973"/>
      <c r="O23" s="713" t="s">
        <v>2775</v>
      </c>
      <c r="Q23" s="971"/>
      <c r="R23" s="972"/>
      <c r="S23" s="973"/>
    </row>
    <row r="24" spans="4:19" s="458" customFormat="1" ht="12.6" customHeight="1">
      <c r="D24" s="508"/>
      <c r="E24" s="464" t="s">
        <v>953</v>
      </c>
      <c r="H24" s="971"/>
      <c r="I24" s="972"/>
      <c r="J24" s="973"/>
      <c r="O24" s="713" t="s">
        <v>2834</v>
      </c>
      <c r="Q24" s="968"/>
      <c r="R24" s="969"/>
      <c r="S24" s="970"/>
    </row>
    <row r="25" spans="4:19" s="458" customFormat="1" ht="12.6" customHeight="1">
      <c r="E25" s="464" t="s">
        <v>2830</v>
      </c>
      <c r="H25" s="880"/>
      <c r="I25" s="493" t="s">
        <v>3354</v>
      </c>
      <c r="J25" s="985"/>
      <c r="K25" s="973"/>
      <c r="O25" s="713" t="s">
        <v>3056</v>
      </c>
      <c r="Q25" s="968"/>
      <c r="R25" s="969"/>
      <c r="S25" s="970"/>
    </row>
    <row r="26" spans="4:19" s="458" customFormat="1" ht="12.6" customHeight="1">
      <c r="D26" s="508"/>
      <c r="E26" s="464" t="s">
        <v>3062</v>
      </c>
      <c r="H26" s="968"/>
      <c r="I26" s="970"/>
      <c r="J26" s="886"/>
      <c r="K26" s="723" t="s">
        <v>2833</v>
      </c>
      <c r="L26" s="974"/>
      <c r="M26" s="973"/>
      <c r="N26" s="466" t="s">
        <v>3061</v>
      </c>
      <c r="O26" s="975"/>
      <c r="P26" s="992"/>
      <c r="Q26" s="992"/>
      <c r="R26" s="992"/>
      <c r="S26" s="976"/>
    </row>
    <row r="27" spans="4:19" s="458" customFormat="1" ht="4.1500000000000004" customHeight="1">
      <c r="D27" s="508"/>
      <c r="E27" s="721"/>
      <c r="F27" s="721"/>
      <c r="G27" s="713"/>
      <c r="H27" s="889"/>
      <c r="I27" s="889"/>
      <c r="J27" s="889"/>
      <c r="K27" s="723"/>
      <c r="L27" s="889"/>
      <c r="M27" s="889"/>
      <c r="N27" s="714"/>
      <c r="O27" s="888"/>
      <c r="P27" s="888"/>
      <c r="Q27" s="723"/>
      <c r="R27" s="888"/>
      <c r="S27" s="888"/>
    </row>
    <row r="28" spans="4:19" s="458" customFormat="1" ht="12.6" customHeight="1">
      <c r="D28" s="461" t="s">
        <v>2761</v>
      </c>
      <c r="E28" s="458" t="s">
        <v>2912</v>
      </c>
      <c r="F28" s="721"/>
      <c r="H28" s="971"/>
      <c r="I28" s="972"/>
      <c r="J28" s="972"/>
      <c r="K28" s="972"/>
      <c r="L28" s="972"/>
      <c r="M28" s="972"/>
      <c r="N28" s="973"/>
      <c r="O28" s="713" t="s">
        <v>3067</v>
      </c>
      <c r="P28" s="713"/>
      <c r="Q28" s="971"/>
      <c r="R28" s="972"/>
      <c r="S28" s="973"/>
    </row>
    <row r="29" spans="4:19" s="458" customFormat="1" ht="12.6" customHeight="1">
      <c r="D29" s="508"/>
      <c r="E29" s="464" t="s">
        <v>1641</v>
      </c>
      <c r="F29" s="472"/>
      <c r="H29" s="971"/>
      <c r="I29" s="972"/>
      <c r="J29" s="972"/>
      <c r="K29" s="972"/>
      <c r="L29" s="972"/>
      <c r="M29" s="972"/>
      <c r="N29" s="973"/>
      <c r="O29" s="713" t="s">
        <v>2775</v>
      </c>
      <c r="Q29" s="971"/>
      <c r="R29" s="972"/>
      <c r="S29" s="973"/>
    </row>
    <row r="30" spans="4:19" s="458" customFormat="1" ht="12.6" customHeight="1">
      <c r="D30" s="508"/>
      <c r="E30" s="464" t="s">
        <v>953</v>
      </c>
      <c r="H30" s="971"/>
      <c r="I30" s="972"/>
      <c r="J30" s="973"/>
      <c r="O30" s="713" t="s">
        <v>2834</v>
      </c>
      <c r="Q30" s="968"/>
      <c r="R30" s="969"/>
      <c r="S30" s="970"/>
    </row>
    <row r="31" spans="4:19" s="458" customFormat="1" ht="12.6" customHeight="1">
      <c r="E31" s="464" t="s">
        <v>2830</v>
      </c>
      <c r="H31" s="880"/>
      <c r="I31" s="493" t="s">
        <v>3354</v>
      </c>
      <c r="J31" s="985"/>
      <c r="K31" s="973"/>
      <c r="O31" s="713" t="s">
        <v>3056</v>
      </c>
      <c r="Q31" s="968"/>
      <c r="R31" s="969"/>
      <c r="S31" s="970"/>
    </row>
    <row r="32" spans="4:19" s="458" customFormat="1" ht="12.6" customHeight="1">
      <c r="D32" s="508"/>
      <c r="E32" s="464" t="s">
        <v>3062</v>
      </c>
      <c r="H32" s="968"/>
      <c r="I32" s="970"/>
      <c r="J32" s="886"/>
      <c r="K32" s="723" t="s">
        <v>2833</v>
      </c>
      <c r="L32" s="974"/>
      <c r="M32" s="973"/>
      <c r="N32" s="466" t="s">
        <v>3061</v>
      </c>
      <c r="O32" s="975"/>
      <c r="P32" s="992"/>
      <c r="Q32" s="992"/>
      <c r="R32" s="992"/>
      <c r="S32" s="976"/>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887"/>
      <c r="I35" s="887"/>
      <c r="J35" s="887"/>
      <c r="K35" s="714"/>
      <c r="L35" s="887"/>
      <c r="M35" s="887"/>
      <c r="N35" s="714"/>
      <c r="O35" s="888"/>
      <c r="P35" s="888"/>
      <c r="Q35" s="723"/>
      <c r="R35" s="888"/>
      <c r="S35" s="888"/>
    </row>
    <row r="36" spans="3:19" s="458" customFormat="1" ht="12.6" customHeight="1">
      <c r="D36" s="461" t="s">
        <v>3213</v>
      </c>
      <c r="E36" s="458" t="s">
        <v>1239</v>
      </c>
      <c r="H36" s="1109" t="s">
        <v>3938</v>
      </c>
      <c r="I36" s="972"/>
      <c r="J36" s="972"/>
      <c r="K36" s="972"/>
      <c r="L36" s="972"/>
      <c r="M36" s="972"/>
      <c r="N36" s="973"/>
      <c r="O36" s="713" t="s">
        <v>3067</v>
      </c>
      <c r="P36" s="713"/>
      <c r="Q36" s="971" t="s">
        <v>3941</v>
      </c>
      <c r="R36" s="972"/>
      <c r="S36" s="973"/>
    </row>
    <row r="37" spans="3:19" s="458" customFormat="1" ht="12.6" customHeight="1">
      <c r="D37" s="508"/>
      <c r="E37" s="464" t="s">
        <v>1641</v>
      </c>
      <c r="F37" s="472"/>
      <c r="H37" s="971" t="s">
        <v>3939</v>
      </c>
      <c r="I37" s="972"/>
      <c r="J37" s="972"/>
      <c r="K37" s="972"/>
      <c r="L37" s="972"/>
      <c r="M37" s="972"/>
      <c r="N37" s="973"/>
      <c r="O37" s="713" t="s">
        <v>2775</v>
      </c>
      <c r="Q37" s="971" t="s">
        <v>3942</v>
      </c>
      <c r="R37" s="972"/>
      <c r="S37" s="973"/>
    </row>
    <row r="38" spans="3:19" s="458" customFormat="1" ht="12.6" customHeight="1">
      <c r="D38" s="508"/>
      <c r="E38" s="464" t="s">
        <v>953</v>
      </c>
      <c r="H38" s="971" t="s">
        <v>3940</v>
      </c>
      <c r="I38" s="972"/>
      <c r="J38" s="973"/>
      <c r="O38" s="713" t="s">
        <v>2834</v>
      </c>
      <c r="Q38" s="968">
        <v>9802336462</v>
      </c>
      <c r="R38" s="969"/>
      <c r="S38" s="970"/>
    </row>
    <row r="39" spans="3:19" s="458" customFormat="1" ht="12.6" customHeight="1">
      <c r="E39" s="464" t="s">
        <v>2830</v>
      </c>
      <c r="H39" s="880" t="s">
        <v>2051</v>
      </c>
      <c r="I39" s="493" t="s">
        <v>3354</v>
      </c>
      <c r="J39" s="985">
        <v>282110000</v>
      </c>
      <c r="K39" s="973"/>
      <c r="O39" s="713" t="s">
        <v>3056</v>
      </c>
      <c r="Q39" s="968"/>
      <c r="R39" s="969"/>
      <c r="S39" s="970"/>
    </row>
    <row r="40" spans="3:19" s="458" customFormat="1" ht="12.6" customHeight="1">
      <c r="D40" s="508"/>
      <c r="E40" s="464" t="s">
        <v>3062</v>
      </c>
      <c r="H40" s="968">
        <v>9802336462</v>
      </c>
      <c r="I40" s="970"/>
      <c r="J40" s="886"/>
      <c r="K40" s="723" t="s">
        <v>2833</v>
      </c>
      <c r="L40" s="974"/>
      <c r="M40" s="973"/>
      <c r="N40" s="466" t="s">
        <v>3061</v>
      </c>
      <c r="O40" s="975" t="s">
        <v>3943</v>
      </c>
      <c r="P40" s="992"/>
      <c r="Q40" s="992"/>
      <c r="R40" s="992"/>
      <c r="S40" s="976"/>
    </row>
    <row r="41" spans="3:19" ht="4.1500000000000004" customHeight="1">
      <c r="H41" s="889"/>
      <c r="I41" s="889"/>
      <c r="J41" s="889"/>
      <c r="K41" s="723"/>
      <c r="L41" s="889"/>
      <c r="M41" s="889"/>
      <c r="N41" s="714"/>
      <c r="O41" s="888"/>
      <c r="P41" s="888"/>
      <c r="Q41" s="723"/>
      <c r="R41" s="888"/>
      <c r="S41" s="888"/>
    </row>
    <row r="42" spans="3:19" s="458" customFormat="1" ht="12.6" customHeight="1">
      <c r="D42" s="461" t="s">
        <v>3214</v>
      </c>
      <c r="E42" s="458" t="s">
        <v>1240</v>
      </c>
      <c r="F42" s="461"/>
      <c r="H42" s="971" t="s">
        <v>3938</v>
      </c>
      <c r="I42" s="977"/>
      <c r="J42" s="977"/>
      <c r="K42" s="977"/>
      <c r="L42" s="977"/>
      <c r="M42" s="977"/>
      <c r="N42" s="978"/>
      <c r="O42" s="713" t="s">
        <v>3067</v>
      </c>
      <c r="P42" s="713"/>
      <c r="Q42" s="971" t="s">
        <v>3941</v>
      </c>
      <c r="R42" s="972"/>
      <c r="S42" s="973"/>
    </row>
    <row r="43" spans="3:19" s="458" customFormat="1" ht="12.6" customHeight="1">
      <c r="D43" s="508"/>
      <c r="E43" s="464" t="s">
        <v>1641</v>
      </c>
      <c r="F43" s="472"/>
      <c r="H43" s="971" t="s">
        <v>3939</v>
      </c>
      <c r="I43" s="977"/>
      <c r="J43" s="977"/>
      <c r="K43" s="977"/>
      <c r="L43" s="977"/>
      <c r="M43" s="977"/>
      <c r="N43" s="978"/>
      <c r="O43" s="713" t="s">
        <v>2775</v>
      </c>
      <c r="Q43" s="971" t="s">
        <v>3942</v>
      </c>
      <c r="R43" s="972"/>
      <c r="S43" s="973"/>
    </row>
    <row r="44" spans="3:19" s="458" customFormat="1" ht="12.6" customHeight="1">
      <c r="D44" s="508"/>
      <c r="E44" s="464" t="s">
        <v>953</v>
      </c>
      <c r="H44" s="971" t="s">
        <v>3940</v>
      </c>
      <c r="I44" s="977"/>
      <c r="J44" s="978"/>
      <c r="O44" s="713" t="s">
        <v>2834</v>
      </c>
      <c r="Q44" s="968">
        <v>9802336462</v>
      </c>
      <c r="R44" s="969"/>
      <c r="S44" s="970"/>
    </row>
    <row r="45" spans="3:19" s="458" customFormat="1" ht="12.6" customHeight="1">
      <c r="D45" s="461"/>
      <c r="E45" s="464" t="s">
        <v>2830</v>
      </c>
      <c r="H45" s="880" t="s">
        <v>2051</v>
      </c>
      <c r="I45" s="493" t="s">
        <v>3354</v>
      </c>
      <c r="J45" s="985">
        <f>J39</f>
        <v>282110000</v>
      </c>
      <c r="K45" s="973"/>
      <c r="O45" s="713" t="s">
        <v>3056</v>
      </c>
      <c r="Q45" s="968"/>
      <c r="R45" s="969"/>
      <c r="S45" s="970"/>
    </row>
    <row r="46" spans="3:19" s="458" customFormat="1" ht="12.6" customHeight="1">
      <c r="D46" s="508"/>
      <c r="E46" s="464" t="s">
        <v>3062</v>
      </c>
      <c r="H46" s="968">
        <f>H40</f>
        <v>9802336462</v>
      </c>
      <c r="I46" s="970"/>
      <c r="J46" s="886"/>
      <c r="K46" s="723" t="s">
        <v>2833</v>
      </c>
      <c r="L46" s="974"/>
      <c r="M46" s="973"/>
      <c r="N46" s="466" t="s">
        <v>3061</v>
      </c>
      <c r="O46" s="975" t="s">
        <v>3943</v>
      </c>
      <c r="P46" s="992"/>
      <c r="Q46" s="992"/>
      <c r="R46" s="992"/>
      <c r="S46" s="976"/>
    </row>
    <row r="47" spans="3:19" s="458" customFormat="1" ht="4.1500000000000004" customHeight="1">
      <c r="D47" s="508"/>
      <c r="E47" s="464"/>
      <c r="F47" s="461"/>
      <c r="H47" s="501"/>
      <c r="I47" s="501"/>
      <c r="J47" s="890"/>
      <c r="K47" s="723"/>
      <c r="L47" s="501"/>
      <c r="M47" s="501"/>
      <c r="N47" s="723"/>
      <c r="O47" s="501"/>
      <c r="P47" s="501"/>
      <c r="Q47" s="723"/>
      <c r="R47" s="501"/>
      <c r="S47" s="501"/>
    </row>
    <row r="48" spans="3:19" s="458" customFormat="1" ht="13.15" customHeight="1">
      <c r="C48" s="512" t="s">
        <v>3823</v>
      </c>
      <c r="D48" s="506" t="s">
        <v>994</v>
      </c>
      <c r="H48" s="721"/>
      <c r="I48" s="721"/>
      <c r="J48" s="721"/>
      <c r="K48" s="721"/>
      <c r="L48" s="721"/>
      <c r="M48" s="721"/>
    </row>
    <row r="49" spans="1:19" s="458" customFormat="1" ht="4.1500000000000004" customHeight="1">
      <c r="D49" s="512"/>
      <c r="E49" s="511"/>
      <c r="H49" s="887"/>
      <c r="I49" s="887"/>
      <c r="J49" s="887"/>
      <c r="K49" s="714"/>
      <c r="L49" s="887"/>
      <c r="M49" s="887"/>
      <c r="N49" s="714"/>
      <c r="O49" s="888"/>
      <c r="P49" s="888"/>
      <c r="Q49" s="723"/>
      <c r="R49" s="888"/>
      <c r="S49" s="888"/>
    </row>
    <row r="50" spans="1:19" s="458" customFormat="1" ht="12.6" customHeight="1">
      <c r="E50" s="458" t="s">
        <v>103</v>
      </c>
      <c r="H50" s="971"/>
      <c r="I50" s="972"/>
      <c r="J50" s="972"/>
      <c r="K50" s="972"/>
      <c r="L50" s="972"/>
      <c r="M50" s="972"/>
      <c r="N50" s="973"/>
      <c r="O50" s="713" t="s">
        <v>3067</v>
      </c>
      <c r="P50" s="713"/>
      <c r="Q50" s="971"/>
      <c r="R50" s="972"/>
      <c r="S50" s="973"/>
    </row>
    <row r="51" spans="1:19" s="458" customFormat="1" ht="12.6" customHeight="1">
      <c r="D51" s="508"/>
      <c r="E51" s="464" t="s">
        <v>1641</v>
      </c>
      <c r="F51" s="472"/>
      <c r="H51" s="971"/>
      <c r="I51" s="972"/>
      <c r="J51" s="972"/>
      <c r="K51" s="972"/>
      <c r="L51" s="972"/>
      <c r="M51" s="972"/>
      <c r="N51" s="973"/>
      <c r="O51" s="713" t="s">
        <v>2775</v>
      </c>
      <c r="Q51" s="971"/>
      <c r="R51" s="972"/>
      <c r="S51" s="973"/>
    </row>
    <row r="52" spans="1:19" s="458" customFormat="1" ht="12.6" customHeight="1">
      <c r="D52" s="508"/>
      <c r="E52" s="464" t="s">
        <v>953</v>
      </c>
      <c r="H52" s="971"/>
      <c r="I52" s="972"/>
      <c r="J52" s="973"/>
      <c r="O52" s="713" t="s">
        <v>2834</v>
      </c>
      <c r="Q52" s="968"/>
      <c r="R52" s="969"/>
      <c r="S52" s="970"/>
    </row>
    <row r="53" spans="1:19" s="458" customFormat="1" ht="12.6" customHeight="1">
      <c r="E53" s="464" t="s">
        <v>2830</v>
      </c>
      <c r="H53" s="880"/>
      <c r="I53" s="493" t="s">
        <v>3354</v>
      </c>
      <c r="J53" s="985"/>
      <c r="K53" s="973"/>
      <c r="O53" s="713" t="s">
        <v>3056</v>
      </c>
      <c r="Q53" s="968"/>
      <c r="R53" s="969"/>
      <c r="S53" s="970"/>
    </row>
    <row r="54" spans="1:19" s="458" customFormat="1" ht="12.6" customHeight="1">
      <c r="D54" s="508"/>
      <c r="E54" s="464" t="s">
        <v>3062</v>
      </c>
      <c r="H54" s="968"/>
      <c r="I54" s="970"/>
      <c r="J54" s="886"/>
      <c r="K54" s="723" t="s">
        <v>2833</v>
      </c>
      <c r="L54" s="974"/>
      <c r="M54" s="973"/>
      <c r="N54" s="466" t="s">
        <v>3061</v>
      </c>
      <c r="O54" s="975"/>
      <c r="P54" s="992"/>
      <c r="Q54" s="992"/>
      <c r="R54" s="992"/>
      <c r="S54" s="976"/>
    </row>
    <row r="55" spans="1:19" ht="13.15" customHeight="1"/>
    <row r="56" spans="1:19" s="458" customFormat="1" ht="13.15" customHeight="1">
      <c r="A56" s="461" t="s">
        <v>1229</v>
      </c>
      <c r="B56" s="461" t="s">
        <v>995</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887"/>
      <c r="I57" s="887"/>
      <c r="J57" s="887"/>
      <c r="K57" s="714"/>
      <c r="L57" s="887"/>
      <c r="M57" s="887"/>
      <c r="N57" s="714"/>
      <c r="O57" s="888"/>
      <c r="P57" s="888"/>
      <c r="Q57" s="723"/>
      <c r="R57" s="888"/>
      <c r="S57" s="888"/>
    </row>
    <row r="58" spans="1:19" s="458" customFormat="1" ht="13.15" customHeight="1">
      <c r="B58" s="461" t="s">
        <v>3060</v>
      </c>
      <c r="C58" s="461" t="s">
        <v>375</v>
      </c>
      <c r="H58" s="971" t="s">
        <v>3944</v>
      </c>
      <c r="I58" s="972"/>
      <c r="J58" s="972"/>
      <c r="K58" s="972"/>
      <c r="L58" s="972"/>
      <c r="M58" s="972"/>
      <c r="N58" s="973"/>
      <c r="O58" s="713" t="s">
        <v>3067</v>
      </c>
      <c r="P58" s="713"/>
      <c r="Q58" s="971" t="s">
        <v>3921</v>
      </c>
      <c r="R58" s="972"/>
      <c r="S58" s="973"/>
    </row>
    <row r="59" spans="1:19" s="458" customFormat="1" ht="13.15" customHeight="1">
      <c r="D59" s="508"/>
      <c r="E59" s="464" t="s">
        <v>1641</v>
      </c>
      <c r="F59" s="472"/>
      <c r="H59" s="971" t="s">
        <v>3923</v>
      </c>
      <c r="I59" s="972"/>
      <c r="J59" s="972"/>
      <c r="K59" s="972"/>
      <c r="L59" s="972"/>
      <c r="M59" s="972"/>
      <c r="N59" s="973"/>
      <c r="O59" s="713" t="s">
        <v>2775</v>
      </c>
      <c r="Q59" s="971" t="s">
        <v>3945</v>
      </c>
      <c r="R59" s="972"/>
      <c r="S59" s="973"/>
    </row>
    <row r="60" spans="1:19" s="458" customFormat="1" ht="13.15" customHeight="1">
      <c r="D60" s="508"/>
      <c r="E60" s="464" t="s">
        <v>953</v>
      </c>
      <c r="H60" s="971" t="s">
        <v>1866</v>
      </c>
      <c r="I60" s="972"/>
      <c r="J60" s="973"/>
      <c r="O60" s="713" t="s">
        <v>2834</v>
      </c>
      <c r="Q60" s="968">
        <v>4042241882</v>
      </c>
      <c r="R60" s="969"/>
      <c r="S60" s="970"/>
    </row>
    <row r="61" spans="1:19" s="458" customFormat="1" ht="13.15" customHeight="1">
      <c r="E61" s="464" t="s">
        <v>2830</v>
      </c>
      <c r="H61" s="880" t="s">
        <v>1438</v>
      </c>
      <c r="I61" s="493" t="s">
        <v>3354</v>
      </c>
      <c r="J61" s="985">
        <v>303030000</v>
      </c>
      <c r="K61" s="973"/>
      <c r="O61" s="713" t="s">
        <v>3056</v>
      </c>
      <c r="Q61" s="968">
        <v>4042297238</v>
      </c>
      <c r="R61" s="969"/>
      <c r="S61" s="970"/>
    </row>
    <row r="62" spans="1:19" s="458" customFormat="1" ht="13.15" customHeight="1">
      <c r="D62" s="508"/>
      <c r="E62" s="464" t="s">
        <v>3062</v>
      </c>
      <c r="H62" s="968">
        <v>4042241860</v>
      </c>
      <c r="I62" s="970"/>
      <c r="J62" s="886">
        <v>1882</v>
      </c>
      <c r="K62" s="723" t="s">
        <v>2833</v>
      </c>
      <c r="L62" s="974">
        <v>4042241899</v>
      </c>
      <c r="M62" s="973"/>
      <c r="N62" s="466" t="s">
        <v>3061</v>
      </c>
      <c r="O62" s="975" t="s">
        <v>3924</v>
      </c>
      <c r="P62" s="992"/>
      <c r="Q62" s="992"/>
      <c r="R62" s="992"/>
      <c r="S62" s="976"/>
    </row>
    <row r="63" spans="1:19" s="458" customFormat="1" ht="6.6" customHeight="1">
      <c r="D63" s="508"/>
      <c r="E63" s="721"/>
      <c r="F63" s="721"/>
      <c r="G63" s="713"/>
      <c r="H63" s="889"/>
      <c r="I63" s="889"/>
      <c r="J63" s="889"/>
      <c r="K63" s="723"/>
      <c r="L63" s="889"/>
      <c r="M63" s="889"/>
      <c r="N63" s="714"/>
      <c r="O63" s="888"/>
      <c r="P63" s="888"/>
      <c r="Q63" s="723"/>
      <c r="R63" s="888"/>
      <c r="S63" s="888"/>
    </row>
    <row r="64" spans="1:19" s="458" customFormat="1" ht="13.15" customHeight="1">
      <c r="B64" s="461" t="s">
        <v>3063</v>
      </c>
      <c r="C64" s="461" t="s">
        <v>376</v>
      </c>
      <c r="H64" s="971"/>
      <c r="I64" s="972"/>
      <c r="J64" s="972"/>
      <c r="K64" s="972"/>
      <c r="L64" s="972"/>
      <c r="M64" s="972"/>
      <c r="N64" s="973"/>
      <c r="O64" s="713" t="s">
        <v>3067</v>
      </c>
      <c r="P64" s="713"/>
      <c r="Q64" s="971"/>
      <c r="R64" s="972"/>
      <c r="S64" s="973"/>
    </row>
    <row r="65" spans="2:19" s="458" customFormat="1" ht="13.15" customHeight="1">
      <c r="D65" s="508"/>
      <c r="E65" s="464" t="s">
        <v>1641</v>
      </c>
      <c r="F65" s="472"/>
      <c r="H65" s="971"/>
      <c r="I65" s="972"/>
      <c r="J65" s="972"/>
      <c r="K65" s="972"/>
      <c r="L65" s="972"/>
      <c r="M65" s="972"/>
      <c r="N65" s="973"/>
      <c r="O65" s="713" t="s">
        <v>2775</v>
      </c>
      <c r="Q65" s="971"/>
      <c r="R65" s="972"/>
      <c r="S65" s="973"/>
    </row>
    <row r="66" spans="2:19" s="458" customFormat="1" ht="13.15" customHeight="1">
      <c r="D66" s="508"/>
      <c r="E66" s="464" t="s">
        <v>953</v>
      </c>
      <c r="H66" s="971"/>
      <c r="I66" s="972"/>
      <c r="J66" s="973"/>
      <c r="O66" s="713" t="s">
        <v>2834</v>
      </c>
      <c r="Q66" s="968"/>
      <c r="R66" s="969"/>
      <c r="S66" s="970"/>
    </row>
    <row r="67" spans="2:19" s="458" customFormat="1" ht="13.15" customHeight="1">
      <c r="E67" s="464" t="s">
        <v>2830</v>
      </c>
      <c r="H67" s="880"/>
      <c r="I67" s="493" t="s">
        <v>3354</v>
      </c>
      <c r="J67" s="985"/>
      <c r="K67" s="973"/>
      <c r="O67" s="713" t="s">
        <v>3056</v>
      </c>
      <c r="Q67" s="968"/>
      <c r="R67" s="969"/>
      <c r="S67" s="970"/>
    </row>
    <row r="68" spans="2:19" s="458" customFormat="1" ht="13.15" customHeight="1">
      <c r="D68" s="508"/>
      <c r="E68" s="464" t="s">
        <v>3062</v>
      </c>
      <c r="H68" s="968"/>
      <c r="I68" s="970"/>
      <c r="J68" s="886"/>
      <c r="K68" s="723" t="s">
        <v>2833</v>
      </c>
      <c r="L68" s="974"/>
      <c r="M68" s="973"/>
      <c r="N68" s="466" t="s">
        <v>3061</v>
      </c>
      <c r="O68" s="975"/>
      <c r="P68" s="992"/>
      <c r="Q68" s="992"/>
      <c r="R68" s="992"/>
      <c r="S68" s="976"/>
    </row>
    <row r="69" spans="2:19" s="458" customFormat="1" ht="6.6" customHeight="1">
      <c r="D69" s="508"/>
      <c r="E69" s="721"/>
      <c r="F69" s="721"/>
      <c r="G69" s="713"/>
      <c r="H69" s="889"/>
      <c r="I69" s="889"/>
      <c r="J69" s="889"/>
      <c r="K69" s="723"/>
      <c r="L69" s="889"/>
      <c r="M69" s="889"/>
      <c r="N69" s="714"/>
      <c r="O69" s="888"/>
      <c r="P69" s="888"/>
      <c r="Q69" s="723"/>
      <c r="R69" s="888"/>
      <c r="S69" s="888"/>
    </row>
    <row r="70" spans="2:19" s="458" customFormat="1" ht="13.15" customHeight="1">
      <c r="B70" s="461" t="s">
        <v>1238</v>
      </c>
      <c r="C70" s="461" t="s">
        <v>2279</v>
      </c>
      <c r="H70" s="971"/>
      <c r="I70" s="972"/>
      <c r="J70" s="972"/>
      <c r="K70" s="972"/>
      <c r="L70" s="972"/>
      <c r="M70" s="972"/>
      <c r="N70" s="973"/>
      <c r="O70" s="713" t="s">
        <v>3067</v>
      </c>
      <c r="P70" s="713"/>
      <c r="Q70" s="971"/>
      <c r="R70" s="972"/>
      <c r="S70" s="973"/>
    </row>
    <row r="71" spans="2:19" s="458" customFormat="1" ht="13.15" customHeight="1">
      <c r="D71" s="508"/>
      <c r="E71" s="464" t="s">
        <v>1641</v>
      </c>
      <c r="F71" s="472"/>
      <c r="H71" s="971"/>
      <c r="I71" s="972"/>
      <c r="J71" s="972"/>
      <c r="K71" s="972"/>
      <c r="L71" s="972"/>
      <c r="M71" s="972"/>
      <c r="N71" s="973"/>
      <c r="O71" s="713" t="s">
        <v>2775</v>
      </c>
      <c r="Q71" s="971"/>
      <c r="R71" s="972"/>
      <c r="S71" s="973"/>
    </row>
    <row r="72" spans="2:19" s="458" customFormat="1" ht="13.15" customHeight="1">
      <c r="D72" s="508"/>
      <c r="E72" s="464" t="s">
        <v>953</v>
      </c>
      <c r="H72" s="971"/>
      <c r="I72" s="972"/>
      <c r="J72" s="973"/>
      <c r="O72" s="713" t="s">
        <v>2834</v>
      </c>
      <c r="Q72" s="968"/>
      <c r="R72" s="969"/>
      <c r="S72" s="970"/>
    </row>
    <row r="73" spans="2:19" s="458" customFormat="1" ht="13.15" customHeight="1">
      <c r="E73" s="464" t="s">
        <v>2830</v>
      </c>
      <c r="H73" s="880"/>
      <c r="I73" s="493" t="s">
        <v>3354</v>
      </c>
      <c r="J73" s="985"/>
      <c r="K73" s="973"/>
      <c r="O73" s="713" t="s">
        <v>3056</v>
      </c>
      <c r="Q73" s="968"/>
      <c r="R73" s="969"/>
      <c r="S73" s="970"/>
    </row>
    <row r="74" spans="2:19" s="458" customFormat="1" ht="13.15" customHeight="1">
      <c r="D74" s="508"/>
      <c r="E74" s="464" t="s">
        <v>3062</v>
      </c>
      <c r="H74" s="968"/>
      <c r="I74" s="970"/>
      <c r="J74" s="886"/>
      <c r="K74" s="723" t="s">
        <v>2833</v>
      </c>
      <c r="L74" s="974"/>
      <c r="M74" s="973"/>
      <c r="N74" s="466" t="s">
        <v>3061</v>
      </c>
      <c r="O74" s="975"/>
      <c r="P74" s="992"/>
      <c r="Q74" s="992"/>
      <c r="R74" s="992"/>
      <c r="S74" s="976"/>
    </row>
    <row r="75" spans="2:19" ht="6.6" customHeight="1">
      <c r="H75" s="889"/>
      <c r="I75" s="889"/>
      <c r="J75" s="889"/>
      <c r="K75" s="723"/>
      <c r="L75" s="889"/>
      <c r="M75" s="889"/>
      <c r="N75" s="714"/>
      <c r="O75" s="888"/>
      <c r="P75" s="888"/>
      <c r="Q75" s="723"/>
      <c r="R75" s="888"/>
      <c r="S75" s="888"/>
    </row>
    <row r="76" spans="2:19" s="458" customFormat="1" ht="13.15" customHeight="1">
      <c r="B76" s="461" t="s">
        <v>3212</v>
      </c>
      <c r="C76" s="461" t="s">
        <v>377</v>
      </c>
      <c r="H76" s="971"/>
      <c r="I76" s="972"/>
      <c r="J76" s="972"/>
      <c r="K76" s="972"/>
      <c r="L76" s="972"/>
      <c r="M76" s="972"/>
      <c r="N76" s="973"/>
      <c r="O76" s="713" t="s">
        <v>3067</v>
      </c>
      <c r="P76" s="713"/>
      <c r="Q76" s="971"/>
      <c r="R76" s="972"/>
      <c r="S76" s="973"/>
    </row>
    <row r="77" spans="2:19" s="458" customFormat="1" ht="13.15" customHeight="1">
      <c r="D77" s="508"/>
      <c r="E77" s="464" t="s">
        <v>1641</v>
      </c>
      <c r="F77" s="472"/>
      <c r="H77" s="971"/>
      <c r="I77" s="972"/>
      <c r="J77" s="972"/>
      <c r="K77" s="972"/>
      <c r="L77" s="972"/>
      <c r="M77" s="972"/>
      <c r="N77" s="973"/>
      <c r="O77" s="713" t="s">
        <v>2775</v>
      </c>
      <c r="Q77" s="971"/>
      <c r="R77" s="972"/>
      <c r="S77" s="973"/>
    </row>
    <row r="78" spans="2:19" s="458" customFormat="1" ht="13.15" customHeight="1">
      <c r="D78" s="508"/>
      <c r="E78" s="464" t="s">
        <v>953</v>
      </c>
      <c r="H78" s="971"/>
      <c r="I78" s="972"/>
      <c r="J78" s="973"/>
      <c r="O78" s="713" t="s">
        <v>2834</v>
      </c>
      <c r="Q78" s="968"/>
      <c r="R78" s="969"/>
      <c r="S78" s="970"/>
    </row>
    <row r="79" spans="2:19" s="458" customFormat="1" ht="13.15" customHeight="1">
      <c r="E79" s="464" t="s">
        <v>2830</v>
      </c>
      <c r="H79" s="880"/>
      <c r="I79" s="493" t="s">
        <v>3354</v>
      </c>
      <c r="J79" s="985"/>
      <c r="K79" s="973"/>
      <c r="O79" s="713" t="s">
        <v>3056</v>
      </c>
      <c r="Q79" s="968"/>
      <c r="R79" s="969"/>
      <c r="S79" s="970"/>
    </row>
    <row r="80" spans="2:19" s="458" customFormat="1" ht="13.15" customHeight="1">
      <c r="D80" s="508"/>
      <c r="E80" s="464" t="s">
        <v>3062</v>
      </c>
      <c r="H80" s="968"/>
      <c r="I80" s="970"/>
      <c r="J80" s="886"/>
      <c r="K80" s="723" t="s">
        <v>2833</v>
      </c>
      <c r="L80" s="974"/>
      <c r="M80" s="973"/>
      <c r="N80" s="466" t="s">
        <v>3061</v>
      </c>
      <c r="O80" s="975"/>
      <c r="P80" s="992"/>
      <c r="Q80" s="992"/>
      <c r="R80" s="992"/>
      <c r="S80" s="976"/>
    </row>
    <row r="81" spans="1:19" ht="13.15" customHeight="1"/>
    <row r="82" spans="1:19" s="464" customFormat="1" ht="13.15" customHeight="1">
      <c r="A82" s="465" t="s">
        <v>1231</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887"/>
      <c r="I83" s="887"/>
      <c r="J83" s="887"/>
      <c r="K83" s="714"/>
      <c r="L83" s="887"/>
      <c r="M83" s="887"/>
      <c r="N83" s="714"/>
      <c r="O83" s="888"/>
      <c r="P83" s="888"/>
      <c r="Q83" s="723"/>
      <c r="R83" s="888"/>
      <c r="S83" s="888"/>
    </row>
    <row r="84" spans="1:19" s="458" customFormat="1" ht="13.15" customHeight="1">
      <c r="B84" s="461" t="s">
        <v>3060</v>
      </c>
      <c r="C84" s="461" t="s">
        <v>379</v>
      </c>
      <c r="H84" s="971"/>
      <c r="I84" s="972"/>
      <c r="J84" s="972"/>
      <c r="K84" s="972"/>
      <c r="L84" s="972"/>
      <c r="M84" s="972"/>
      <c r="N84" s="973"/>
      <c r="O84" s="713" t="s">
        <v>3067</v>
      </c>
      <c r="P84" s="713"/>
      <c r="Q84" s="971"/>
      <c r="R84" s="972"/>
      <c r="S84" s="973"/>
    </row>
    <row r="85" spans="1:19" s="458" customFormat="1" ht="13.15" customHeight="1">
      <c r="D85" s="508"/>
      <c r="E85" s="464" t="s">
        <v>1641</v>
      </c>
      <c r="F85" s="472"/>
      <c r="H85" s="971"/>
      <c r="I85" s="972"/>
      <c r="J85" s="972"/>
      <c r="K85" s="972"/>
      <c r="L85" s="972"/>
      <c r="M85" s="972"/>
      <c r="N85" s="973"/>
      <c r="O85" s="713" t="s">
        <v>2775</v>
      </c>
      <c r="Q85" s="971"/>
      <c r="R85" s="972"/>
      <c r="S85" s="973"/>
    </row>
    <row r="86" spans="1:19" s="458" customFormat="1" ht="13.15" customHeight="1">
      <c r="D86" s="508"/>
      <c r="E86" s="464" t="s">
        <v>953</v>
      </c>
      <c r="H86" s="971"/>
      <c r="I86" s="972"/>
      <c r="J86" s="973"/>
      <c r="O86" s="713" t="s">
        <v>2834</v>
      </c>
      <c r="Q86" s="968"/>
      <c r="R86" s="969"/>
      <c r="S86" s="970"/>
    </row>
    <row r="87" spans="1:19" s="458" customFormat="1" ht="13.15" customHeight="1">
      <c r="E87" s="464" t="s">
        <v>2830</v>
      </c>
      <c r="H87" s="880"/>
      <c r="I87" s="493" t="s">
        <v>3354</v>
      </c>
      <c r="J87" s="985"/>
      <c r="K87" s="973"/>
      <c r="O87" s="713" t="s">
        <v>3056</v>
      </c>
      <c r="Q87" s="968"/>
      <c r="R87" s="969"/>
      <c r="S87" s="970"/>
    </row>
    <row r="88" spans="1:19" s="458" customFormat="1" ht="13.15" customHeight="1">
      <c r="D88" s="508"/>
      <c r="E88" s="464" t="s">
        <v>3062</v>
      </c>
      <c r="H88" s="968"/>
      <c r="I88" s="970"/>
      <c r="J88" s="886"/>
      <c r="K88" s="723" t="s">
        <v>2833</v>
      </c>
      <c r="L88" s="974"/>
      <c r="M88" s="973"/>
      <c r="N88" s="466" t="s">
        <v>3061</v>
      </c>
      <c r="O88" s="975"/>
      <c r="P88" s="992"/>
      <c r="Q88" s="992"/>
      <c r="R88" s="992"/>
      <c r="S88" s="976"/>
    </row>
    <row r="89" spans="1:19" ht="6.6" customHeight="1">
      <c r="H89" s="889"/>
      <c r="I89" s="889"/>
      <c r="J89" s="889"/>
      <c r="K89" s="723"/>
      <c r="L89" s="889"/>
      <c r="M89" s="889"/>
      <c r="N89" s="714"/>
      <c r="O89" s="888"/>
      <c r="P89" s="888"/>
      <c r="Q89" s="723"/>
      <c r="R89" s="888"/>
      <c r="S89" s="888"/>
    </row>
    <row r="90" spans="1:19" s="458" customFormat="1" ht="13.15" customHeight="1">
      <c r="B90" s="461" t="s">
        <v>3063</v>
      </c>
      <c r="C90" s="461" t="s">
        <v>380</v>
      </c>
      <c r="H90" s="971" t="s">
        <v>3946</v>
      </c>
      <c r="I90" s="972"/>
      <c r="J90" s="972"/>
      <c r="K90" s="972"/>
      <c r="L90" s="972"/>
      <c r="M90" s="972"/>
      <c r="N90" s="973"/>
      <c r="O90" s="713" t="s">
        <v>3067</v>
      </c>
      <c r="P90" s="713"/>
      <c r="Q90" s="971" t="s">
        <v>3948</v>
      </c>
      <c r="R90" s="972"/>
      <c r="S90" s="973"/>
    </row>
    <row r="91" spans="1:19" s="458" customFormat="1" ht="13.15" customHeight="1">
      <c r="D91" s="508"/>
      <c r="E91" s="464" t="s">
        <v>1641</v>
      </c>
      <c r="F91" s="472"/>
      <c r="H91" s="971" t="s">
        <v>3947</v>
      </c>
      <c r="I91" s="972"/>
      <c r="J91" s="972"/>
      <c r="K91" s="972"/>
      <c r="L91" s="972"/>
      <c r="M91" s="972"/>
      <c r="N91" s="973"/>
      <c r="O91" s="713" t="s">
        <v>2775</v>
      </c>
      <c r="Q91" s="971" t="s">
        <v>3949</v>
      </c>
      <c r="R91" s="972"/>
      <c r="S91" s="973"/>
    </row>
    <row r="92" spans="1:19" s="458" customFormat="1" ht="13.15" customHeight="1">
      <c r="D92" s="508"/>
      <c r="E92" s="464" t="s">
        <v>953</v>
      </c>
      <c r="H92" s="971" t="s">
        <v>1866</v>
      </c>
      <c r="I92" s="972"/>
      <c r="J92" s="973"/>
      <c r="O92" s="713" t="s">
        <v>2834</v>
      </c>
      <c r="Q92" s="968">
        <v>4042241871</v>
      </c>
      <c r="R92" s="969"/>
      <c r="S92" s="970"/>
    </row>
    <row r="93" spans="1:19" s="458" customFormat="1" ht="13.15" customHeight="1">
      <c r="E93" s="464" t="s">
        <v>2830</v>
      </c>
      <c r="H93" s="880" t="s">
        <v>1438</v>
      </c>
      <c r="I93" s="493" t="s">
        <v>3354</v>
      </c>
      <c r="J93" s="985">
        <v>303030000</v>
      </c>
      <c r="K93" s="973"/>
      <c r="O93" s="713" t="s">
        <v>3056</v>
      </c>
      <c r="Q93" s="968"/>
      <c r="R93" s="969"/>
      <c r="S93" s="970"/>
    </row>
    <row r="94" spans="1:19" s="458" customFormat="1" ht="13.15" customHeight="1">
      <c r="D94" s="508"/>
      <c r="E94" s="464" t="s">
        <v>3062</v>
      </c>
      <c r="H94" s="968">
        <v>4042241871</v>
      </c>
      <c r="I94" s="970"/>
      <c r="J94" s="886"/>
      <c r="K94" s="723" t="s">
        <v>2833</v>
      </c>
      <c r="L94" s="974">
        <v>4042245177</v>
      </c>
      <c r="M94" s="973"/>
      <c r="N94" s="466" t="s">
        <v>3061</v>
      </c>
      <c r="O94" s="975" t="s">
        <v>3950</v>
      </c>
      <c r="P94" s="992"/>
      <c r="Q94" s="992"/>
      <c r="R94" s="992"/>
      <c r="S94" s="976"/>
    </row>
    <row r="95" spans="1:19" ht="6.6" customHeight="1">
      <c r="H95" s="889"/>
      <c r="I95" s="889"/>
      <c r="J95" s="889"/>
      <c r="K95" s="723"/>
      <c r="L95" s="889"/>
      <c r="M95" s="889"/>
      <c r="N95" s="714"/>
      <c r="O95" s="888"/>
      <c r="P95" s="888"/>
      <c r="Q95" s="723"/>
      <c r="R95" s="888"/>
      <c r="S95" s="888"/>
    </row>
    <row r="96" spans="1:19" s="458" customFormat="1" ht="13.15" customHeight="1">
      <c r="B96" s="461" t="s">
        <v>1238</v>
      </c>
      <c r="C96" s="461" t="s">
        <v>381</v>
      </c>
      <c r="F96" s="482"/>
      <c r="H96" s="971" t="s">
        <v>3951</v>
      </c>
      <c r="I96" s="972"/>
      <c r="J96" s="972"/>
      <c r="K96" s="972"/>
      <c r="L96" s="972"/>
      <c r="M96" s="972"/>
      <c r="N96" s="973"/>
      <c r="O96" s="713" t="s">
        <v>3067</v>
      </c>
      <c r="P96" s="713"/>
      <c r="Q96" s="971" t="s">
        <v>3952</v>
      </c>
      <c r="R96" s="972"/>
      <c r="S96" s="973"/>
    </row>
    <row r="97" spans="2:19" s="458" customFormat="1" ht="13.15" customHeight="1">
      <c r="D97" s="508"/>
      <c r="E97" s="464" t="s">
        <v>1641</v>
      </c>
      <c r="F97" s="472"/>
      <c r="H97" s="971" t="s">
        <v>3947</v>
      </c>
      <c r="I97" s="972"/>
      <c r="J97" s="972"/>
      <c r="K97" s="972"/>
      <c r="L97" s="972"/>
      <c r="M97" s="972"/>
      <c r="N97" s="973"/>
      <c r="O97" s="713" t="s">
        <v>2775</v>
      </c>
      <c r="Q97" s="971" t="s">
        <v>3949</v>
      </c>
      <c r="R97" s="972"/>
      <c r="S97" s="973"/>
    </row>
    <row r="98" spans="2:19" s="458" customFormat="1" ht="13.15" customHeight="1">
      <c r="D98" s="508"/>
      <c r="E98" s="464" t="s">
        <v>953</v>
      </c>
      <c r="H98" s="971" t="s">
        <v>1866</v>
      </c>
      <c r="I98" s="972"/>
      <c r="J98" s="973"/>
      <c r="O98" s="713" t="s">
        <v>2834</v>
      </c>
      <c r="Q98" s="968">
        <v>4045261882</v>
      </c>
      <c r="R98" s="969"/>
      <c r="S98" s="970"/>
    </row>
    <row r="99" spans="2:19" s="458" customFormat="1" ht="13.15" customHeight="1">
      <c r="D99" s="508"/>
      <c r="E99" s="464" t="s">
        <v>2830</v>
      </c>
      <c r="H99" s="880" t="s">
        <v>1438</v>
      </c>
      <c r="I99" s="493" t="s">
        <v>3354</v>
      </c>
      <c r="J99" s="985">
        <v>303030000</v>
      </c>
      <c r="K99" s="973"/>
      <c r="O99" s="713" t="s">
        <v>3056</v>
      </c>
      <c r="Q99" s="968"/>
      <c r="R99" s="969"/>
      <c r="S99" s="970"/>
    </row>
    <row r="100" spans="2:19" s="458" customFormat="1" ht="13.15" customHeight="1">
      <c r="D100" s="508"/>
      <c r="E100" s="464" t="s">
        <v>3062</v>
      </c>
      <c r="H100" s="968">
        <v>4042230588</v>
      </c>
      <c r="I100" s="970"/>
      <c r="J100" s="886"/>
      <c r="K100" s="723" t="s">
        <v>2833</v>
      </c>
      <c r="L100" s="974">
        <v>4042233201</v>
      </c>
      <c r="M100" s="973"/>
      <c r="N100" s="466" t="s">
        <v>3061</v>
      </c>
      <c r="O100" s="975" t="s">
        <v>3953</v>
      </c>
      <c r="P100" s="992"/>
      <c r="Q100" s="992"/>
      <c r="R100" s="992"/>
      <c r="S100" s="976"/>
    </row>
    <row r="101" spans="2:19" ht="6.6" customHeight="1">
      <c r="H101" s="889"/>
      <c r="I101" s="889"/>
      <c r="J101" s="889"/>
      <c r="K101" s="723"/>
      <c r="L101" s="889"/>
      <c r="M101" s="889"/>
      <c r="N101" s="714"/>
      <c r="O101" s="888"/>
      <c r="P101" s="888"/>
      <c r="Q101" s="723"/>
      <c r="R101" s="888"/>
      <c r="S101" s="888"/>
    </row>
    <row r="102" spans="2:19" s="458" customFormat="1" ht="13.15" customHeight="1">
      <c r="B102" s="461" t="s">
        <v>3212</v>
      </c>
      <c r="C102" s="461" t="s">
        <v>382</v>
      </c>
      <c r="H102" s="971" t="s">
        <v>3954</v>
      </c>
      <c r="I102" s="972"/>
      <c r="J102" s="972"/>
      <c r="K102" s="972"/>
      <c r="L102" s="972"/>
      <c r="M102" s="972"/>
      <c r="N102" s="973"/>
      <c r="O102" s="713" t="s">
        <v>3067</v>
      </c>
      <c r="P102" s="713"/>
      <c r="Q102" s="971" t="s">
        <v>3957</v>
      </c>
      <c r="R102" s="972"/>
      <c r="S102" s="973"/>
    </row>
    <row r="103" spans="2:19" s="458" customFormat="1" ht="13.15" customHeight="1">
      <c r="D103" s="508"/>
      <c r="E103" s="464" t="s">
        <v>1641</v>
      </c>
      <c r="F103" s="472"/>
      <c r="H103" s="971" t="s">
        <v>3956</v>
      </c>
      <c r="I103" s="972"/>
      <c r="J103" s="972"/>
      <c r="K103" s="972"/>
      <c r="L103" s="972"/>
      <c r="M103" s="972"/>
      <c r="N103" s="973"/>
      <c r="O103" s="713" t="s">
        <v>2775</v>
      </c>
      <c r="Q103" s="971" t="s">
        <v>3747</v>
      </c>
      <c r="R103" s="972"/>
      <c r="S103" s="973"/>
    </row>
    <row r="104" spans="2:19" s="458" customFormat="1" ht="13.15" customHeight="1">
      <c r="D104" s="508"/>
      <c r="E104" s="464" t="s">
        <v>953</v>
      </c>
      <c r="H104" s="971" t="s">
        <v>1866</v>
      </c>
      <c r="I104" s="972"/>
      <c r="J104" s="973"/>
      <c r="O104" s="713" t="s">
        <v>2834</v>
      </c>
      <c r="Q104" s="968">
        <v>4048738656</v>
      </c>
      <c r="R104" s="969"/>
      <c r="S104" s="970"/>
    </row>
    <row r="105" spans="2:19" s="458" customFormat="1" ht="13.15" customHeight="1">
      <c r="D105" s="508"/>
      <c r="E105" s="464" t="s">
        <v>2830</v>
      </c>
      <c r="H105" s="880" t="s">
        <v>1438</v>
      </c>
      <c r="I105" s="493" t="s">
        <v>3354</v>
      </c>
      <c r="J105" s="985">
        <v>303630000</v>
      </c>
      <c r="K105" s="973"/>
      <c r="O105" s="713" t="s">
        <v>3056</v>
      </c>
      <c r="Q105" s="968"/>
      <c r="R105" s="969"/>
      <c r="S105" s="970"/>
    </row>
    <row r="106" spans="2:19" ht="13.15" customHeight="1">
      <c r="E106" s="464" t="s">
        <v>3062</v>
      </c>
      <c r="F106" s="458"/>
      <c r="G106" s="458"/>
      <c r="H106" s="968">
        <v>4048738656</v>
      </c>
      <c r="I106" s="970"/>
      <c r="J106" s="886"/>
      <c r="K106" s="723" t="s">
        <v>2833</v>
      </c>
      <c r="L106" s="974">
        <v>4048738657</v>
      </c>
      <c r="M106" s="973"/>
      <c r="N106" s="466" t="s">
        <v>3061</v>
      </c>
      <c r="O106" s="975" t="s">
        <v>3955</v>
      </c>
      <c r="P106" s="992"/>
      <c r="Q106" s="992"/>
      <c r="R106" s="992"/>
      <c r="S106" s="976"/>
    </row>
    <row r="107" spans="2:19" ht="6" customHeight="1">
      <c r="E107" s="464"/>
      <c r="F107" s="458"/>
      <c r="G107" s="458"/>
      <c r="H107" s="458"/>
      <c r="I107" s="458"/>
      <c r="J107" s="458"/>
      <c r="K107" s="458"/>
      <c r="L107" s="458"/>
      <c r="M107" s="458"/>
      <c r="N107" s="458"/>
      <c r="O107" s="458"/>
      <c r="P107" s="458"/>
      <c r="Q107" s="723"/>
      <c r="R107" s="723"/>
      <c r="S107" s="891"/>
    </row>
    <row r="108" spans="2:19" ht="0.6" customHeight="1">
      <c r="E108" s="464"/>
      <c r="F108" s="458"/>
      <c r="G108" s="721"/>
      <c r="H108" s="887"/>
      <c r="I108" s="887"/>
      <c r="J108" s="887"/>
      <c r="K108" s="714"/>
      <c r="L108" s="887"/>
      <c r="M108" s="887"/>
      <c r="N108" s="714"/>
      <c r="O108" s="888"/>
      <c r="P108" s="888"/>
      <c r="Q108" s="723"/>
      <c r="R108" s="888"/>
      <c r="S108" s="888"/>
    </row>
    <row r="109" spans="2:19" s="458" customFormat="1" ht="13.15" customHeight="1">
      <c r="B109" s="461" t="s">
        <v>2762</v>
      </c>
      <c r="C109" s="461" t="s">
        <v>383</v>
      </c>
      <c r="H109" s="971" t="s">
        <v>3972</v>
      </c>
      <c r="I109" s="972"/>
      <c r="J109" s="972"/>
      <c r="K109" s="972"/>
      <c r="L109" s="972"/>
      <c r="M109" s="972"/>
      <c r="N109" s="973"/>
      <c r="O109" s="713" t="s">
        <v>3067</v>
      </c>
      <c r="P109" s="713"/>
      <c r="Q109" s="971" t="s">
        <v>3973</v>
      </c>
      <c r="R109" s="972"/>
      <c r="S109" s="973"/>
    </row>
    <row r="110" spans="2:19" s="458" customFormat="1" ht="13.15" customHeight="1">
      <c r="D110" s="508"/>
      <c r="E110" s="464" t="s">
        <v>1641</v>
      </c>
      <c r="F110" s="472"/>
      <c r="H110" s="971" t="s">
        <v>3974</v>
      </c>
      <c r="I110" s="972"/>
      <c r="J110" s="972"/>
      <c r="K110" s="972"/>
      <c r="L110" s="972"/>
      <c r="M110" s="972"/>
      <c r="N110" s="973"/>
      <c r="O110" s="713" t="s">
        <v>2775</v>
      </c>
      <c r="Q110" s="971" t="s">
        <v>3975</v>
      </c>
      <c r="R110" s="972"/>
      <c r="S110" s="973"/>
    </row>
    <row r="111" spans="2:19" s="458" customFormat="1" ht="13.15" customHeight="1">
      <c r="D111" s="508"/>
      <c r="E111" s="464" t="s">
        <v>953</v>
      </c>
      <c r="H111" s="971" t="s">
        <v>1866</v>
      </c>
      <c r="I111" s="972"/>
      <c r="J111" s="973"/>
      <c r="O111" s="713" t="s">
        <v>2834</v>
      </c>
      <c r="Q111" s="968">
        <v>7703537115</v>
      </c>
      <c r="R111" s="969"/>
      <c r="S111" s="970"/>
    </row>
    <row r="112" spans="2:19" s="458" customFormat="1" ht="13.15" customHeight="1">
      <c r="D112" s="508"/>
      <c r="E112" s="464" t="s">
        <v>2830</v>
      </c>
      <c r="H112" s="880" t="s">
        <v>1438</v>
      </c>
      <c r="I112" s="493" t="s">
        <v>3354</v>
      </c>
      <c r="J112" s="985">
        <v>303280000</v>
      </c>
      <c r="K112" s="973"/>
      <c r="O112" s="713" t="s">
        <v>3056</v>
      </c>
      <c r="Q112" s="968"/>
      <c r="R112" s="969"/>
      <c r="S112" s="970"/>
    </row>
    <row r="113" spans="1:19" ht="13.15" customHeight="1">
      <c r="E113" s="464" t="s">
        <v>3062</v>
      </c>
      <c r="F113" s="458"/>
      <c r="G113" s="458"/>
      <c r="H113" s="968">
        <v>4048929651</v>
      </c>
      <c r="I113" s="970"/>
      <c r="J113" s="886"/>
      <c r="K113" s="723" t="s">
        <v>2833</v>
      </c>
      <c r="L113" s="974">
        <v>7703513271</v>
      </c>
      <c r="M113" s="973"/>
      <c r="N113" s="466" t="s">
        <v>3061</v>
      </c>
      <c r="O113" s="975" t="s">
        <v>3976</v>
      </c>
      <c r="P113" s="992"/>
      <c r="Q113" s="992"/>
      <c r="R113" s="992"/>
      <c r="S113" s="976"/>
    </row>
    <row r="114" spans="1:19" ht="6.6" customHeight="1">
      <c r="E114" s="464"/>
      <c r="F114" s="458"/>
      <c r="G114" s="721"/>
      <c r="H114" s="889"/>
      <c r="I114" s="889"/>
      <c r="J114" s="889"/>
      <c r="K114" s="723"/>
      <c r="L114" s="889"/>
      <c r="M114" s="889"/>
      <c r="N114" s="714"/>
      <c r="O114" s="888"/>
      <c r="P114" s="888"/>
      <c r="Q114" s="723"/>
      <c r="R114" s="888"/>
      <c r="S114" s="888"/>
    </row>
    <row r="115" spans="1:19" s="458" customFormat="1" ht="13.15" customHeight="1">
      <c r="B115" s="461" t="s">
        <v>2763</v>
      </c>
      <c r="C115" s="461" t="s">
        <v>384</v>
      </c>
      <c r="H115" s="971" t="s">
        <v>3958</v>
      </c>
      <c r="I115" s="972"/>
      <c r="J115" s="972"/>
      <c r="K115" s="972"/>
      <c r="L115" s="972"/>
      <c r="M115" s="972"/>
      <c r="N115" s="973"/>
      <c r="O115" s="713" t="s">
        <v>3067</v>
      </c>
      <c r="P115" s="713"/>
      <c r="Q115" s="971" t="s">
        <v>3958</v>
      </c>
      <c r="R115" s="972"/>
      <c r="S115" s="973"/>
    </row>
    <row r="116" spans="1:19" s="458" customFormat="1" ht="13.15" customHeight="1">
      <c r="D116" s="508"/>
      <c r="E116" s="464" t="s">
        <v>1641</v>
      </c>
      <c r="F116" s="472"/>
      <c r="H116" s="971" t="s">
        <v>3977</v>
      </c>
      <c r="I116" s="972"/>
      <c r="J116" s="972"/>
      <c r="K116" s="972"/>
      <c r="L116" s="972"/>
      <c r="M116" s="972"/>
      <c r="N116" s="973"/>
      <c r="O116" s="713" t="s">
        <v>2775</v>
      </c>
      <c r="Q116" s="971" t="s">
        <v>3747</v>
      </c>
      <c r="R116" s="972"/>
      <c r="S116" s="973"/>
    </row>
    <row r="117" spans="1:19" s="458" customFormat="1" ht="13.15" customHeight="1">
      <c r="D117" s="508"/>
      <c r="E117" s="464" t="s">
        <v>953</v>
      </c>
      <c r="H117" s="971" t="s">
        <v>481</v>
      </c>
      <c r="I117" s="972"/>
      <c r="J117" s="973"/>
      <c r="O117" s="713" t="s">
        <v>2834</v>
      </c>
      <c r="Q117" s="968">
        <v>7709552421</v>
      </c>
      <c r="R117" s="969"/>
      <c r="S117" s="970"/>
    </row>
    <row r="118" spans="1:19" s="458" customFormat="1" ht="13.15" customHeight="1">
      <c r="D118" s="513"/>
      <c r="E118" s="464" t="s">
        <v>2830</v>
      </c>
      <c r="H118" s="880" t="s">
        <v>1438</v>
      </c>
      <c r="I118" s="493" t="s">
        <v>3354</v>
      </c>
      <c r="J118" s="985">
        <v>300670000</v>
      </c>
      <c r="K118" s="973"/>
      <c r="O118" s="713" t="s">
        <v>3056</v>
      </c>
      <c r="Q118" s="968"/>
      <c r="R118" s="969"/>
      <c r="S118" s="970"/>
    </row>
    <row r="119" spans="1:19" s="458" customFormat="1" ht="13.15" customHeight="1">
      <c r="D119" s="513"/>
      <c r="E119" s="464" t="s">
        <v>3062</v>
      </c>
      <c r="H119" s="968">
        <v>7709552421</v>
      </c>
      <c r="I119" s="970"/>
      <c r="J119" s="886"/>
      <c r="K119" s="723" t="s">
        <v>2833</v>
      </c>
      <c r="L119" s="974">
        <v>7709552480</v>
      </c>
      <c r="M119" s="973"/>
      <c r="N119" s="466" t="s">
        <v>3061</v>
      </c>
      <c r="O119" s="975" t="s">
        <v>3978</v>
      </c>
      <c r="P119" s="992"/>
      <c r="Q119" s="992"/>
      <c r="R119" s="992"/>
      <c r="S119" s="976"/>
    </row>
    <row r="120" spans="1:19" ht="13.15" customHeight="1"/>
    <row r="121" spans="1:19" s="458" customFormat="1" ht="13.15" customHeight="1">
      <c r="A121" s="461" t="s">
        <v>2823</v>
      </c>
      <c r="B121" s="461" t="s">
        <v>3919</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1114" t="s">
        <v>976</v>
      </c>
      <c r="B123" s="1115"/>
      <c r="C123" s="1115"/>
      <c r="D123" s="1116"/>
      <c r="E123" s="1123" t="s">
        <v>3543</v>
      </c>
      <c r="F123" s="1088" t="s">
        <v>3536</v>
      </c>
      <c r="G123" s="1080" t="s">
        <v>3537</v>
      </c>
      <c r="H123" s="1092"/>
      <c r="I123" s="1093"/>
      <c r="J123" s="1080" t="s">
        <v>3538</v>
      </c>
      <c r="K123" s="1099"/>
      <c r="L123" s="1080" t="s">
        <v>3539</v>
      </c>
      <c r="M123" s="1104"/>
      <c r="N123" s="1080" t="s">
        <v>3540</v>
      </c>
      <c r="O123" s="1093"/>
      <c r="P123" s="1080" t="s">
        <v>3541</v>
      </c>
      <c r="Q123" s="1093"/>
      <c r="R123" s="1080" t="s">
        <v>3542</v>
      </c>
      <c r="S123" s="1081"/>
    </row>
    <row r="124" spans="1:19" s="458" customFormat="1" ht="21.6" customHeight="1">
      <c r="A124" s="1117"/>
      <c r="B124" s="1118"/>
      <c r="C124" s="1118"/>
      <c r="D124" s="1119"/>
      <c r="E124" s="1124"/>
      <c r="F124" s="1089"/>
      <c r="G124" s="1082"/>
      <c r="H124" s="1094"/>
      <c r="I124" s="1095"/>
      <c r="J124" s="1100"/>
      <c r="K124" s="1101"/>
      <c r="L124" s="1082"/>
      <c r="M124" s="1105"/>
      <c r="N124" s="1082"/>
      <c r="O124" s="1095"/>
      <c r="P124" s="1082"/>
      <c r="Q124" s="1095"/>
      <c r="R124" s="1082"/>
      <c r="S124" s="1083"/>
    </row>
    <row r="125" spans="1:19" s="458" customFormat="1" ht="21.6" customHeight="1">
      <c r="A125" s="1117"/>
      <c r="B125" s="1118"/>
      <c r="C125" s="1118"/>
      <c r="D125" s="1119"/>
      <c r="E125" s="1124"/>
      <c r="F125" s="1090"/>
      <c r="G125" s="1082"/>
      <c r="H125" s="1094"/>
      <c r="I125" s="1095"/>
      <c r="J125" s="1100"/>
      <c r="K125" s="1101"/>
      <c r="L125" s="1106"/>
      <c r="M125" s="1105"/>
      <c r="N125" s="1082"/>
      <c r="O125" s="1095"/>
      <c r="P125" s="1082"/>
      <c r="Q125" s="1095"/>
      <c r="R125" s="1084"/>
      <c r="S125" s="1083"/>
    </row>
    <row r="126" spans="1:19" s="458" customFormat="1" ht="21.6" customHeight="1">
      <c r="A126" s="1117"/>
      <c r="B126" s="1118"/>
      <c r="C126" s="1118"/>
      <c r="D126" s="1119"/>
      <c r="E126" s="1124"/>
      <c r="F126" s="1090"/>
      <c r="G126" s="1082"/>
      <c r="H126" s="1094"/>
      <c r="I126" s="1095"/>
      <c r="J126" s="1100"/>
      <c r="K126" s="1101"/>
      <c r="L126" s="1106"/>
      <c r="M126" s="1105"/>
      <c r="N126" s="1082"/>
      <c r="O126" s="1095"/>
      <c r="P126" s="1082"/>
      <c r="Q126" s="1095"/>
      <c r="R126" s="1084"/>
      <c r="S126" s="1083"/>
    </row>
    <row r="127" spans="1:19" s="458" customFormat="1" ht="21.6" customHeight="1">
      <c r="A127" s="1120"/>
      <c r="B127" s="1121"/>
      <c r="C127" s="1121"/>
      <c r="D127" s="1122"/>
      <c r="E127" s="1125"/>
      <c r="F127" s="1091"/>
      <c r="G127" s="1096"/>
      <c r="H127" s="1097"/>
      <c r="I127" s="1098"/>
      <c r="J127" s="1102"/>
      <c r="K127" s="1103"/>
      <c r="L127" s="1107"/>
      <c r="M127" s="1108"/>
      <c r="N127" s="1096"/>
      <c r="O127" s="1098"/>
      <c r="P127" s="1096"/>
      <c r="Q127" s="1098"/>
      <c r="R127" s="1085"/>
      <c r="S127" s="1086"/>
    </row>
    <row r="128" spans="1:19" s="458" customFormat="1" ht="13.9" customHeight="1">
      <c r="A128" s="718" t="s">
        <v>3535</v>
      </c>
      <c r="B128" s="719"/>
      <c r="C128" s="719"/>
      <c r="D128" s="726"/>
      <c r="E128" s="892" t="s">
        <v>3926</v>
      </c>
      <c r="F128" s="892" t="s">
        <v>3928</v>
      </c>
      <c r="G128" s="1074" t="s">
        <v>3926</v>
      </c>
      <c r="H128" s="1087"/>
      <c r="I128" s="1075"/>
      <c r="J128" s="1074" t="s">
        <v>3928</v>
      </c>
      <c r="K128" s="1075"/>
      <c r="L128" s="1074" t="s">
        <v>3926</v>
      </c>
      <c r="M128" s="1075"/>
      <c r="N128" s="1074" t="s">
        <v>3926</v>
      </c>
      <c r="O128" s="1075"/>
      <c r="P128" s="1076"/>
      <c r="Q128" s="1077"/>
      <c r="R128" s="1078">
        <v>1E-4</v>
      </c>
      <c r="S128" s="1079"/>
    </row>
    <row r="129" spans="1:19" s="458" customFormat="1" ht="13.9" customHeight="1">
      <c r="A129" s="720" t="s">
        <v>3525</v>
      </c>
      <c r="B129" s="721"/>
      <c r="C129" s="721"/>
      <c r="D129" s="722"/>
      <c r="E129" s="893"/>
      <c r="F129" s="893"/>
      <c r="G129" s="1066"/>
      <c r="H129" s="1067"/>
      <c r="I129" s="1068"/>
      <c r="J129" s="1066"/>
      <c r="K129" s="1068"/>
      <c r="L129" s="1066"/>
      <c r="M129" s="1068"/>
      <c r="N129" s="1066"/>
      <c r="O129" s="1068"/>
      <c r="P129" s="1070"/>
      <c r="Q129" s="1071"/>
      <c r="R129" s="1072"/>
      <c r="S129" s="1073"/>
    </row>
    <row r="130" spans="1:19" s="458" customFormat="1" ht="13.9" customHeight="1">
      <c r="A130" s="720" t="s">
        <v>3526</v>
      </c>
      <c r="B130" s="721"/>
      <c r="C130" s="721"/>
      <c r="D130" s="722"/>
      <c r="E130" s="893"/>
      <c r="F130" s="893"/>
      <c r="G130" s="1066"/>
      <c r="H130" s="1067"/>
      <c r="I130" s="1068"/>
      <c r="J130" s="1066"/>
      <c r="K130" s="1068"/>
      <c r="L130" s="1066"/>
      <c r="M130" s="1068"/>
      <c r="N130" s="1066"/>
      <c r="O130" s="1068"/>
      <c r="P130" s="1070"/>
      <c r="Q130" s="1071"/>
      <c r="R130" s="1072"/>
      <c r="S130" s="1073"/>
    </row>
    <row r="131" spans="1:19" s="458" customFormat="1" ht="13.9" customHeight="1">
      <c r="A131" s="720" t="s">
        <v>3527</v>
      </c>
      <c r="B131" s="721"/>
      <c r="C131" s="721"/>
      <c r="D131" s="722"/>
      <c r="E131" s="893" t="s">
        <v>3926</v>
      </c>
      <c r="F131" s="893" t="s">
        <v>3926</v>
      </c>
      <c r="G131" s="1066" t="s">
        <v>3926</v>
      </c>
      <c r="H131" s="1067"/>
      <c r="I131" s="1068"/>
      <c r="J131" s="1066" t="s">
        <v>3926</v>
      </c>
      <c r="K131" s="1068"/>
      <c r="L131" s="1066" t="s">
        <v>3926</v>
      </c>
      <c r="M131" s="1068"/>
      <c r="N131" s="1066" t="s">
        <v>3926</v>
      </c>
      <c r="O131" s="1068"/>
      <c r="P131" s="1070"/>
      <c r="Q131" s="1071"/>
      <c r="R131" s="1072">
        <v>0.9899</v>
      </c>
      <c r="S131" s="1073"/>
    </row>
    <row r="132" spans="1:19" s="458" customFormat="1" ht="13.9" customHeight="1">
      <c r="A132" s="720" t="s">
        <v>3528</v>
      </c>
      <c r="B132" s="721"/>
      <c r="C132" s="721"/>
      <c r="D132" s="722"/>
      <c r="E132" s="893" t="s">
        <v>3926</v>
      </c>
      <c r="F132" s="893" t="s">
        <v>3926</v>
      </c>
      <c r="G132" s="1066" t="s">
        <v>3926</v>
      </c>
      <c r="H132" s="1067"/>
      <c r="I132" s="1068"/>
      <c r="J132" s="1066" t="s">
        <v>3926</v>
      </c>
      <c r="K132" s="1068"/>
      <c r="L132" s="1066" t="s">
        <v>3926</v>
      </c>
      <c r="M132" s="1068"/>
      <c r="N132" s="1066" t="s">
        <v>3926</v>
      </c>
      <c r="O132" s="1068"/>
      <c r="P132" s="1070"/>
      <c r="Q132" s="1071"/>
      <c r="R132" s="1072">
        <v>0.01</v>
      </c>
      <c r="S132" s="1073"/>
    </row>
    <row r="133" spans="1:19" s="458" customFormat="1" ht="13.9" customHeight="1">
      <c r="A133" s="720" t="s">
        <v>3529</v>
      </c>
      <c r="B133" s="721"/>
      <c r="C133" s="721"/>
      <c r="D133" s="722"/>
      <c r="E133" s="893"/>
      <c r="F133" s="893"/>
      <c r="G133" s="1066"/>
      <c r="H133" s="1067"/>
      <c r="I133" s="1068"/>
      <c r="J133" s="1066"/>
      <c r="K133" s="1068"/>
      <c r="L133" s="1066"/>
      <c r="M133" s="1068"/>
      <c r="N133" s="1066"/>
      <c r="O133" s="1068"/>
      <c r="P133" s="1070"/>
      <c r="Q133" s="1071"/>
      <c r="R133" s="1072"/>
      <c r="S133" s="1073"/>
    </row>
    <row r="134" spans="1:19" s="458" customFormat="1" ht="13.9" customHeight="1">
      <c r="A134" s="720" t="s">
        <v>996</v>
      </c>
      <c r="B134" s="721"/>
      <c r="C134" s="721"/>
      <c r="D134" s="722"/>
      <c r="E134" s="893" t="s">
        <v>3926</v>
      </c>
      <c r="F134" s="893" t="s">
        <v>3928</v>
      </c>
      <c r="G134" s="1066" t="s">
        <v>3926</v>
      </c>
      <c r="H134" s="1067"/>
      <c r="I134" s="1068"/>
      <c r="J134" s="1066" t="s">
        <v>3928</v>
      </c>
      <c r="K134" s="1068"/>
      <c r="L134" s="1066" t="s">
        <v>3926</v>
      </c>
      <c r="M134" s="1068"/>
      <c r="N134" s="1066" t="s">
        <v>3926</v>
      </c>
      <c r="O134" s="1068"/>
      <c r="P134" s="1070"/>
      <c r="Q134" s="1071"/>
      <c r="R134" s="1072"/>
      <c r="S134" s="1073"/>
    </row>
    <row r="135" spans="1:19" s="458" customFormat="1" ht="13.9" customHeight="1">
      <c r="A135" s="720" t="s">
        <v>3530</v>
      </c>
      <c r="B135" s="721"/>
      <c r="C135" s="721"/>
      <c r="D135" s="722"/>
      <c r="E135" s="893"/>
      <c r="F135" s="893"/>
      <c r="G135" s="1066"/>
      <c r="H135" s="1067"/>
      <c r="I135" s="1068"/>
      <c r="J135" s="1066"/>
      <c r="K135" s="1068"/>
      <c r="L135" s="1066"/>
      <c r="M135" s="1068"/>
      <c r="N135" s="1066"/>
      <c r="O135" s="1068"/>
      <c r="P135" s="1070"/>
      <c r="Q135" s="1071"/>
      <c r="R135" s="1072"/>
      <c r="S135" s="1073"/>
    </row>
    <row r="136" spans="1:19" s="458" customFormat="1" ht="13.9" customHeight="1">
      <c r="A136" s="720" t="s">
        <v>3531</v>
      </c>
      <c r="B136" s="721"/>
      <c r="C136" s="721"/>
      <c r="D136" s="722"/>
      <c r="E136" s="893"/>
      <c r="F136" s="893"/>
      <c r="G136" s="1066"/>
      <c r="H136" s="1067"/>
      <c r="I136" s="1068"/>
      <c r="J136" s="1066"/>
      <c r="K136" s="1068"/>
      <c r="L136" s="1066"/>
      <c r="M136" s="1068"/>
      <c r="N136" s="1066"/>
      <c r="O136" s="1068"/>
      <c r="P136" s="1070"/>
      <c r="Q136" s="1071"/>
      <c r="R136" s="1072"/>
      <c r="S136" s="1073"/>
    </row>
    <row r="137" spans="1:19" s="458" customFormat="1" ht="13.9" customHeight="1">
      <c r="A137" s="720" t="s">
        <v>3532</v>
      </c>
      <c r="B137" s="721"/>
      <c r="C137" s="721"/>
      <c r="D137" s="722"/>
      <c r="E137" s="893"/>
      <c r="F137" s="893"/>
      <c r="G137" s="1066"/>
      <c r="H137" s="1067"/>
      <c r="I137" s="1068"/>
      <c r="J137" s="1066"/>
      <c r="K137" s="1068"/>
      <c r="L137" s="1066"/>
      <c r="M137" s="1068"/>
      <c r="N137" s="1066"/>
      <c r="O137" s="1068"/>
      <c r="P137" s="1070"/>
      <c r="Q137" s="1071"/>
      <c r="R137" s="1072"/>
      <c r="S137" s="1073"/>
    </row>
    <row r="138" spans="1:19" s="458" customFormat="1" ht="13.9" customHeight="1">
      <c r="A138" s="720" t="s">
        <v>3533</v>
      </c>
      <c r="B138" s="721"/>
      <c r="C138" s="721"/>
      <c r="D138" s="722"/>
      <c r="E138" s="893"/>
      <c r="F138" s="893"/>
      <c r="G138" s="1066"/>
      <c r="H138" s="1067"/>
      <c r="I138" s="1068"/>
      <c r="J138" s="1066"/>
      <c r="K138" s="1068"/>
      <c r="L138" s="1066"/>
      <c r="M138" s="1068"/>
      <c r="N138" s="1066"/>
      <c r="O138" s="1068"/>
      <c r="P138" s="1070"/>
      <c r="Q138" s="1071"/>
      <c r="R138" s="1072"/>
      <c r="S138" s="1073"/>
    </row>
    <row r="139" spans="1:19" s="458" customFormat="1" ht="13.9" customHeight="1">
      <c r="A139" s="720" t="s">
        <v>2280</v>
      </c>
      <c r="B139" s="721"/>
      <c r="C139" s="721"/>
      <c r="D139" s="722"/>
      <c r="E139" s="893" t="s">
        <v>3926</v>
      </c>
      <c r="F139" s="893" t="s">
        <v>3928</v>
      </c>
      <c r="G139" s="1066" t="s">
        <v>3926</v>
      </c>
      <c r="H139" s="1067"/>
      <c r="I139" s="1068"/>
      <c r="J139" s="1066" t="s">
        <v>3928</v>
      </c>
      <c r="K139" s="1068"/>
      <c r="L139" s="1066" t="s">
        <v>3926</v>
      </c>
      <c r="M139" s="1068"/>
      <c r="N139" s="1066" t="s">
        <v>3926</v>
      </c>
      <c r="O139" s="1068"/>
      <c r="P139" s="1070"/>
      <c r="Q139" s="1071"/>
      <c r="R139" s="1072"/>
      <c r="S139" s="1073"/>
    </row>
    <row r="140" spans="1:19" s="458" customFormat="1" ht="13.9" customHeight="1">
      <c r="A140" s="724" t="s">
        <v>3534</v>
      </c>
      <c r="B140" s="725"/>
      <c r="C140" s="725"/>
      <c r="D140" s="514"/>
      <c r="E140" s="894" t="s">
        <v>3926</v>
      </c>
      <c r="F140" s="894" t="s">
        <v>3928</v>
      </c>
      <c r="G140" s="1064" t="s">
        <v>3926</v>
      </c>
      <c r="H140" s="1069"/>
      <c r="I140" s="1065"/>
      <c r="J140" s="1064" t="s">
        <v>3928</v>
      </c>
      <c r="K140" s="1065"/>
      <c r="L140" s="1064" t="s">
        <v>3926</v>
      </c>
      <c r="M140" s="1065"/>
      <c r="N140" s="1064" t="s">
        <v>3926</v>
      </c>
      <c r="O140" s="1065"/>
      <c r="P140" s="1060"/>
      <c r="Q140" s="1061"/>
      <c r="R140" s="1062"/>
      <c r="S140" s="1063"/>
    </row>
    <row r="141" spans="1:19" s="721" customFormat="1" ht="13.9" customHeight="1">
      <c r="G141" s="470"/>
      <c r="H141" s="470"/>
      <c r="I141" s="470"/>
      <c r="J141" s="723"/>
      <c r="K141" s="723"/>
      <c r="L141" s="723"/>
      <c r="M141" s="723"/>
      <c r="P141" s="468"/>
      <c r="Q141" s="489" t="s">
        <v>832</v>
      </c>
      <c r="R141" s="1058">
        <f>SUM(R128:S140)</f>
        <v>1</v>
      </c>
      <c r="S141" s="1059"/>
    </row>
    <row r="142" spans="1:19" s="721" customFormat="1" ht="12" customHeight="1">
      <c r="G142" s="470"/>
      <c r="H142" s="470"/>
      <c r="I142" s="470"/>
      <c r="J142" s="723"/>
      <c r="K142" s="723"/>
      <c r="L142" s="723"/>
      <c r="M142" s="723"/>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018" t="s">
        <v>3979</v>
      </c>
      <c r="B145" s="1019"/>
      <c r="C145" s="1019"/>
      <c r="D145" s="1019"/>
      <c r="E145" s="1019"/>
      <c r="F145" s="1019"/>
      <c r="G145" s="1019"/>
      <c r="H145" s="1019"/>
      <c r="I145" s="1019"/>
      <c r="J145" s="1019"/>
      <c r="K145" s="1019"/>
      <c r="L145" s="1019"/>
      <c r="M145" s="1020"/>
      <c r="N145" s="1021"/>
      <c r="O145" s="1022"/>
      <c r="P145" s="1022"/>
      <c r="Q145" s="1022"/>
      <c r="R145" s="1022"/>
      <c r="S145" s="1023"/>
    </row>
    <row r="146" spans="1:19" s="458" customFormat="1" ht="42.6" customHeight="1">
      <c r="A146" s="1015" t="s">
        <v>4033</v>
      </c>
      <c r="B146" s="1016"/>
      <c r="C146" s="1016"/>
      <c r="D146" s="1016"/>
      <c r="E146" s="1016"/>
      <c r="F146" s="1016"/>
      <c r="G146" s="1016"/>
      <c r="H146" s="1016"/>
      <c r="I146" s="1016"/>
      <c r="J146" s="1016"/>
      <c r="K146" s="1016"/>
      <c r="L146" s="1016"/>
      <c r="M146" s="1017"/>
      <c r="N146" s="1012"/>
      <c r="O146" s="1013"/>
      <c r="P146" s="1013"/>
      <c r="Q146" s="1013"/>
      <c r="R146" s="1013"/>
      <c r="S146" s="1014"/>
    </row>
    <row r="147" spans="1:19" s="458" customFormat="1" ht="42.6" customHeight="1">
      <c r="A147" s="1024"/>
      <c r="B147" s="1025"/>
      <c r="C147" s="1025"/>
      <c r="D147" s="1025"/>
      <c r="E147" s="1025"/>
      <c r="F147" s="1025"/>
      <c r="G147" s="1025"/>
      <c r="H147" s="1025"/>
      <c r="I147" s="1025"/>
      <c r="J147" s="1025"/>
      <c r="K147" s="1025"/>
      <c r="L147" s="1025"/>
      <c r="M147" s="1026"/>
      <c r="N147" s="1027"/>
      <c r="O147" s="1028"/>
      <c r="P147" s="1028"/>
      <c r="Q147" s="1028"/>
      <c r="R147" s="1028"/>
      <c r="S147" s="102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5"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3"/>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scale="96"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9" zoomScaleNormal="100" zoomScaleSheetLayoutView="90" workbookViewId="0">
      <selection activeCell="A192"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1111" t="str">
        <f>CONCATENATE("PART THREE - SOURCES OF FUNDS","  -  ",'Part I-Project Information'!$O$4," ",'Part I-Project Information'!$F$22,", ",'Part I-Project Information'!$F$24,", ",'Part I-Project Information'!$J$25," County")</f>
        <v>PART THREE - SOURCES OF FUNDS  -  2011-012 Veteran Senior Housing - Assisted Living, Decatur, DeKalb County</v>
      </c>
      <c r="B1" s="1112"/>
      <c r="C1" s="1112"/>
      <c r="D1" s="1112"/>
      <c r="E1" s="1112"/>
      <c r="F1" s="1112"/>
      <c r="G1" s="1112"/>
      <c r="H1" s="1112"/>
      <c r="I1" s="1112"/>
      <c r="J1" s="1112"/>
      <c r="K1" s="1112"/>
      <c r="L1" s="1112"/>
      <c r="M1" s="1112"/>
      <c r="N1" s="1112"/>
      <c r="O1" s="1112"/>
      <c r="P1" s="1112"/>
      <c r="Q1" s="1113"/>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3771</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880" t="s">
        <v>3928</v>
      </c>
      <c r="C5" s="713" t="s">
        <v>3653</v>
      </c>
      <c r="D5" s="458"/>
      <c r="E5" s="880"/>
      <c r="F5" s="715" t="s">
        <v>2653</v>
      </c>
      <c r="G5" s="458"/>
      <c r="J5" s="1157"/>
      <c r="K5" s="1158"/>
      <c r="M5" s="880"/>
      <c r="N5" s="713" t="s">
        <v>845</v>
      </c>
    </row>
    <row r="6" spans="1:17" s="398" customFormat="1" ht="16.899999999999999" customHeight="1">
      <c r="A6" s="733"/>
      <c r="B6" s="880"/>
      <c r="C6" s="713" t="s">
        <v>2835</v>
      </c>
      <c r="D6" s="458"/>
      <c r="E6" s="880"/>
      <c r="F6" s="715" t="s">
        <v>3312</v>
      </c>
      <c r="J6" s="880"/>
      <c r="K6" s="721" t="s">
        <v>846</v>
      </c>
      <c r="M6" s="880"/>
      <c r="N6" s="715" t="s">
        <v>844</v>
      </c>
    </row>
    <row r="7" spans="1:17" s="398" customFormat="1" ht="16.899999999999999" customHeight="1">
      <c r="A7" s="458"/>
      <c r="B7" s="880"/>
      <c r="C7" s="713" t="s">
        <v>2836</v>
      </c>
      <c r="E7" s="880" t="s">
        <v>3928</v>
      </c>
      <c r="F7" s="715" t="s">
        <v>3311</v>
      </c>
      <c r="G7" s="458"/>
      <c r="J7" s="880"/>
      <c r="K7" s="721" t="s">
        <v>2290</v>
      </c>
      <c r="M7" s="880"/>
      <c r="N7" s="464" t="s">
        <v>1981</v>
      </c>
      <c r="P7" s="1157"/>
      <c r="Q7" s="1158"/>
    </row>
    <row r="8" spans="1:17" s="398" customFormat="1" ht="16.899999999999999" customHeight="1">
      <c r="A8" s="733"/>
      <c r="B8" s="880"/>
      <c r="C8" s="721" t="s">
        <v>3915</v>
      </c>
      <c r="D8" s="458"/>
      <c r="E8" s="880"/>
      <c r="F8" s="487" t="s">
        <v>3916</v>
      </c>
      <c r="H8" s="880"/>
      <c r="I8" s="458" t="s">
        <v>3654</v>
      </c>
      <c r="J8" s="880"/>
      <c r="K8" s="458" t="s">
        <v>874</v>
      </c>
      <c r="M8" s="880"/>
      <c r="N8" s="971" t="s">
        <v>3232</v>
      </c>
      <c r="O8" s="977"/>
      <c r="P8" s="977"/>
      <c r="Q8" s="978"/>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1229</v>
      </c>
      <c r="B11" s="395" t="s">
        <v>3495</v>
      </c>
      <c r="C11" s="458"/>
      <c r="D11" s="721"/>
      <c r="E11" s="458"/>
      <c r="F11" s="458"/>
      <c r="G11" s="458"/>
      <c r="H11" s="461"/>
      <c r="I11" s="482"/>
      <c r="J11" s="461"/>
      <c r="K11" s="458"/>
      <c r="L11" s="458"/>
      <c r="M11" s="721"/>
      <c r="N11" s="1054"/>
      <c r="O11" s="1054"/>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2927</v>
      </c>
      <c r="C13" s="458"/>
      <c r="D13" s="458"/>
      <c r="E13" s="458"/>
      <c r="F13" s="458"/>
      <c r="G13" s="458"/>
      <c r="H13" s="1188" t="s">
        <v>1997</v>
      </c>
      <c r="I13" s="1188"/>
      <c r="J13" s="1188"/>
      <c r="K13" s="1188"/>
      <c r="L13" s="989" t="s">
        <v>3068</v>
      </c>
      <c r="M13" s="989"/>
      <c r="N13" s="989" t="s">
        <v>2257</v>
      </c>
      <c r="O13" s="989"/>
      <c r="P13" s="989" t="s">
        <v>2536</v>
      </c>
      <c r="Q13" s="989"/>
    </row>
    <row r="14" spans="1:17" s="398" customFormat="1" ht="16.899999999999999" customHeight="1">
      <c r="A14" s="458"/>
      <c r="B14" s="1132" t="s">
        <v>2347</v>
      </c>
      <c r="C14" s="1133"/>
      <c r="D14" s="1133"/>
      <c r="E14" s="719"/>
      <c r="F14" s="719"/>
      <c r="G14" s="719"/>
      <c r="H14" s="971" t="s">
        <v>3961</v>
      </c>
      <c r="I14" s="977"/>
      <c r="J14" s="977"/>
      <c r="K14" s="978"/>
      <c r="L14" s="1127">
        <v>500000</v>
      </c>
      <c r="M14" s="1128"/>
      <c r="N14" s="1167">
        <v>0</v>
      </c>
      <c r="O14" s="1168"/>
      <c r="P14" s="1165">
        <v>24</v>
      </c>
      <c r="Q14" s="1166"/>
    </row>
    <row r="15" spans="1:17" s="398" customFormat="1" ht="16.899999999999999" customHeight="1">
      <c r="A15" s="458"/>
      <c r="B15" s="1134" t="s">
        <v>2348</v>
      </c>
      <c r="C15" s="1135"/>
      <c r="D15" s="1135"/>
      <c r="E15" s="721"/>
      <c r="F15" s="721"/>
      <c r="G15" s="721"/>
      <c r="H15" s="971"/>
      <c r="I15" s="977"/>
      <c r="J15" s="977"/>
      <c r="K15" s="978"/>
      <c r="L15" s="1127"/>
      <c r="M15" s="1128"/>
      <c r="N15" s="1167"/>
      <c r="O15" s="1168"/>
      <c r="P15" s="1161"/>
      <c r="Q15" s="1162"/>
    </row>
    <row r="16" spans="1:17" s="398" customFormat="1" ht="16.899999999999999" customHeight="1">
      <c r="A16" s="458"/>
      <c r="B16" s="1163" t="s">
        <v>2349</v>
      </c>
      <c r="C16" s="1164"/>
      <c r="D16" s="1164"/>
      <c r="E16" s="725"/>
      <c r="F16" s="725"/>
      <c r="G16" s="725"/>
      <c r="H16" s="971"/>
      <c r="I16" s="977"/>
      <c r="J16" s="977"/>
      <c r="K16" s="978"/>
      <c r="L16" s="1127"/>
      <c r="M16" s="1128"/>
      <c r="N16" s="1167"/>
      <c r="O16" s="1168"/>
      <c r="P16" s="1161"/>
      <c r="Q16" s="1162"/>
    </row>
    <row r="17" spans="1:17" s="398" customFormat="1" ht="16.899999999999999" customHeight="1">
      <c r="A17" s="458"/>
      <c r="B17" s="1132" t="s">
        <v>3333</v>
      </c>
      <c r="C17" s="1133"/>
      <c r="D17" s="1133"/>
      <c r="E17" s="721"/>
      <c r="F17" s="721"/>
      <c r="G17" s="721"/>
      <c r="H17" s="971"/>
      <c r="I17" s="977"/>
      <c r="J17" s="977"/>
      <c r="K17" s="978"/>
      <c r="L17" s="1127"/>
      <c r="M17" s="1128"/>
      <c r="N17" s="1159"/>
      <c r="O17" s="1160"/>
      <c r="P17" s="1154"/>
      <c r="Q17" s="1154"/>
    </row>
    <row r="18" spans="1:17" s="398" customFormat="1" ht="16.899999999999999" customHeight="1">
      <c r="A18" s="458"/>
      <c r="B18" s="1134" t="s">
        <v>1383</v>
      </c>
      <c r="C18" s="1135"/>
      <c r="D18" s="1135"/>
      <c r="E18" s="721"/>
      <c r="H18" s="971"/>
      <c r="I18" s="977"/>
      <c r="J18" s="977"/>
      <c r="K18" s="978"/>
      <c r="L18" s="1127"/>
      <c r="M18" s="1128"/>
      <c r="N18" s="1159"/>
      <c r="O18" s="1160"/>
      <c r="P18" s="1154"/>
      <c r="Q18" s="1154"/>
    </row>
    <row r="19" spans="1:17" s="398" customFormat="1" ht="16.899999999999999" customHeight="1">
      <c r="A19" s="458"/>
      <c r="B19" s="1134" t="s">
        <v>977</v>
      </c>
      <c r="C19" s="1135"/>
      <c r="D19" s="1135"/>
      <c r="E19" s="721"/>
      <c r="H19" s="971"/>
      <c r="I19" s="977"/>
      <c r="J19" s="977"/>
      <c r="K19" s="978"/>
      <c r="L19" s="1127"/>
      <c r="M19" s="1128"/>
      <c r="N19" s="1159"/>
      <c r="O19" s="1160"/>
      <c r="P19" s="1154"/>
      <c r="Q19" s="1154"/>
    </row>
    <row r="20" spans="1:17" s="398" customFormat="1" ht="16.899999999999999" customHeight="1">
      <c r="A20" s="458"/>
      <c r="B20" s="1134" t="s">
        <v>1384</v>
      </c>
      <c r="C20" s="1135"/>
      <c r="D20" s="1135"/>
      <c r="E20" s="721"/>
      <c r="H20" s="971" t="s">
        <v>3962</v>
      </c>
      <c r="I20" s="977"/>
      <c r="J20" s="977"/>
      <c r="K20" s="978"/>
      <c r="L20" s="1127">
        <v>3532191</v>
      </c>
      <c r="M20" s="1128"/>
      <c r="N20" s="458"/>
      <c r="O20" s="458"/>
      <c r="P20" s="458"/>
      <c r="Q20" s="458"/>
    </row>
    <row r="21" spans="1:17" s="398" customFormat="1" ht="16.899999999999999" customHeight="1">
      <c r="A21" s="458"/>
      <c r="B21" s="1134" t="s">
        <v>1385</v>
      </c>
      <c r="C21" s="1135"/>
      <c r="D21" s="1135"/>
      <c r="E21" s="721"/>
      <c r="H21" s="971" t="s">
        <v>3962</v>
      </c>
      <c r="I21" s="977"/>
      <c r="J21" s="977"/>
      <c r="K21" s="978"/>
      <c r="L21" s="1127">
        <v>1774705</v>
      </c>
      <c r="M21" s="1128"/>
      <c r="N21" s="458"/>
      <c r="O21" s="458"/>
      <c r="P21" s="458"/>
      <c r="Q21" s="458"/>
    </row>
    <row r="22" spans="1:17" s="398" customFormat="1" ht="16.899999999999999" customHeight="1">
      <c r="A22" s="458"/>
      <c r="B22" s="720" t="s">
        <v>309</v>
      </c>
      <c r="C22" s="721"/>
      <c r="D22" s="1129"/>
      <c r="E22" s="1129"/>
      <c r="F22" s="1129"/>
      <c r="G22" s="1129"/>
      <c r="H22" s="971"/>
      <c r="I22" s="977"/>
      <c r="J22" s="977"/>
      <c r="K22" s="978"/>
      <c r="L22" s="1127"/>
      <c r="M22" s="1128"/>
      <c r="N22" s="458"/>
      <c r="O22" s="458"/>
      <c r="P22" s="458"/>
      <c r="Q22" s="458"/>
    </row>
    <row r="23" spans="1:17" s="398" customFormat="1" ht="16.899999999999999" customHeight="1">
      <c r="A23" s="458"/>
      <c r="B23" s="720" t="s">
        <v>309</v>
      </c>
      <c r="C23" s="721"/>
      <c r="D23" s="1129"/>
      <c r="E23" s="1129"/>
      <c r="F23" s="1129"/>
      <c r="G23" s="1129"/>
      <c r="H23" s="971"/>
      <c r="I23" s="977"/>
      <c r="J23" s="977"/>
      <c r="K23" s="978"/>
      <c r="L23" s="1127"/>
      <c r="M23" s="1128"/>
      <c r="N23" s="458"/>
      <c r="O23" s="458"/>
      <c r="P23" s="458"/>
      <c r="Q23" s="458"/>
    </row>
    <row r="24" spans="1:17" s="398" customFormat="1" ht="16.899999999999999" customHeight="1">
      <c r="A24" s="458"/>
      <c r="B24" s="724" t="s">
        <v>309</v>
      </c>
      <c r="C24" s="725"/>
      <c r="D24" s="1129"/>
      <c r="E24" s="1129"/>
      <c r="F24" s="1129"/>
      <c r="G24" s="1129"/>
      <c r="H24" s="971"/>
      <c r="I24" s="977"/>
      <c r="J24" s="977"/>
      <c r="K24" s="978"/>
      <c r="L24" s="1127"/>
      <c r="M24" s="1128"/>
      <c r="N24" s="458"/>
      <c r="O24" s="458"/>
      <c r="P24" s="458"/>
      <c r="Q24" s="458"/>
    </row>
    <row r="25" spans="1:17" s="398" customFormat="1" ht="16.899999999999999" customHeight="1">
      <c r="A25" s="458"/>
      <c r="B25" s="395" t="s">
        <v>1998</v>
      </c>
      <c r="C25" s="458"/>
      <c r="D25" s="458"/>
      <c r="E25" s="458"/>
      <c r="F25" s="458"/>
      <c r="G25" s="458"/>
      <c r="H25" s="458"/>
      <c r="I25" s="458"/>
      <c r="L25" s="1184">
        <f>SUM(L14:L24)</f>
        <v>5806896</v>
      </c>
      <c r="M25" s="1185"/>
      <c r="N25" s="482"/>
      <c r="O25" s="482"/>
      <c r="P25" s="482"/>
      <c r="Q25" s="482"/>
    </row>
    <row r="26" spans="1:17" s="398" customFormat="1" ht="16.899999999999999" customHeight="1">
      <c r="A26" s="458"/>
      <c r="B26" s="713" t="s">
        <v>1999</v>
      </c>
      <c r="C26" s="458"/>
      <c r="D26" s="458"/>
      <c r="E26" s="458"/>
      <c r="F26" s="458"/>
      <c r="G26" s="458"/>
      <c r="H26" s="458"/>
      <c r="I26" s="458"/>
      <c r="L26" s="1184">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5806895.9727609996</v>
      </c>
      <c r="M26" s="1185"/>
      <c r="N26" s="1180"/>
      <c r="O26" s="1181"/>
      <c r="P26" s="1181"/>
      <c r="Q26" s="1181"/>
    </row>
    <row r="27" spans="1:17" s="398" customFormat="1" ht="16.899999999999999" customHeight="1">
      <c r="A27" s="458"/>
      <c r="B27" s="464" t="s">
        <v>3261</v>
      </c>
      <c r="C27" s="458"/>
      <c r="D27" s="458"/>
      <c r="E27" s="458"/>
      <c r="F27" s="458"/>
      <c r="G27" s="458"/>
      <c r="H27" s="458"/>
      <c r="I27" s="458"/>
      <c r="L27" s="1186">
        <f>L25-L26</f>
        <v>2.7239000424742699E-2</v>
      </c>
      <c r="M27" s="1187"/>
      <c r="N27" s="1180"/>
      <c r="O27" s="1181"/>
      <c r="P27" s="1181"/>
      <c r="Q27" s="1181"/>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1231</v>
      </c>
      <c r="B29" s="395" t="s">
        <v>1382</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1154"/>
      <c r="I30" s="1154"/>
      <c r="J30" s="552" t="s">
        <v>3195</v>
      </c>
      <c r="K30" s="723" t="s">
        <v>1995</v>
      </c>
      <c r="L30" s="723" t="s">
        <v>2000</v>
      </c>
      <c r="M30" s="983" t="s">
        <v>40</v>
      </c>
      <c r="N30" s="983"/>
      <c r="O30" s="717"/>
      <c r="P30" s="723"/>
      <c r="Q30" s="1140" t="s">
        <v>3492</v>
      </c>
    </row>
    <row r="31" spans="1:17" s="398" customFormat="1" ht="13.15" customHeight="1" thickBot="1">
      <c r="A31" s="458"/>
      <c r="B31" s="727" t="s">
        <v>2927</v>
      </c>
      <c r="C31" s="725"/>
      <c r="D31" s="725"/>
      <c r="E31" s="1135" t="s">
        <v>1997</v>
      </c>
      <c r="F31" s="1135"/>
      <c r="G31" s="1135"/>
      <c r="H31" s="989" t="s">
        <v>719</v>
      </c>
      <c r="I31" s="989"/>
      <c r="J31" s="714" t="s">
        <v>2843</v>
      </c>
      <c r="K31" s="714" t="s">
        <v>3332</v>
      </c>
      <c r="L31" s="714" t="s">
        <v>3332</v>
      </c>
      <c r="M31" s="1193"/>
      <c r="N31" s="1193"/>
      <c r="O31" s="989" t="s">
        <v>84</v>
      </c>
      <c r="P31" s="989"/>
      <c r="Q31" s="1141"/>
    </row>
    <row r="32" spans="1:17" s="398" customFormat="1" ht="13.15" customHeight="1" thickBot="1">
      <c r="A32" s="458"/>
      <c r="B32" s="1132" t="str">
        <f>IF(E32 ="&lt;&lt;Select applicable option&gt;&gt;", "Make a selection FIRST --&gt;",IF(E32 = "Neither","N/A","Mortgage A"))</f>
        <v>N/A</v>
      </c>
      <c r="C32" s="1133"/>
      <c r="D32" s="1133"/>
      <c r="E32" s="1137" t="s">
        <v>3959</v>
      </c>
      <c r="F32" s="1138"/>
      <c r="G32" s="1139"/>
      <c r="H32" s="1155">
        <f>IF($E$32="USDA 538 Loan", 'Part III B-USDA 538 Loan'!C5,IF($E$32="HUD Insured Loan", 'Part III C-HUD Insured Loan'!D5,0))</f>
        <v>0</v>
      </c>
      <c r="I32" s="11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82" t="str">
        <f>IF(OR(H32&lt;=0,H32=""),"",IF(O32="Amortizing",-PMT(J32/12,L32*12,H32,0,0)*12,IF(NOT(O32="Amortizing"),'Part VII-Pro Forma'!B23,"")))</f>
        <v/>
      </c>
      <c r="N32" s="1183"/>
      <c r="O32" s="1194" t="s">
        <v>3018</v>
      </c>
      <c r="P32" s="1195"/>
      <c r="Q32" s="881" t="s">
        <v>2760</v>
      </c>
    </row>
    <row r="33" spans="1:19" s="398" customFormat="1" ht="13.15" customHeight="1">
      <c r="A33" s="458"/>
      <c r="B33" s="1134" t="str">
        <f>IF(OR(E32 = "Neither",E32 = "&lt;&lt;Select applicable option&gt;&gt;"), "Mortgage A","Mortgage B")</f>
        <v>Mortgage A</v>
      </c>
      <c r="C33" s="1135"/>
      <c r="D33" s="1136"/>
      <c r="E33" s="996" t="s">
        <v>3960</v>
      </c>
      <c r="F33" s="1130"/>
      <c r="G33" s="1131"/>
      <c r="H33" s="1146">
        <v>500000</v>
      </c>
      <c r="I33" s="1149"/>
      <c r="J33" s="882">
        <v>2.5000000000000001E-2</v>
      </c>
      <c r="K33" s="880">
        <v>10</v>
      </c>
      <c r="L33" s="880">
        <v>10</v>
      </c>
      <c r="M33" s="1171">
        <f>IF(OR(H33&lt;=0,H33=""),"",IF(O33="Amortizing",-PMT(J33/12,L33*12,H33,0,0)*12,""))</f>
        <v>56561.941022378742</v>
      </c>
      <c r="N33" s="1172"/>
      <c r="O33" s="1173" t="s">
        <v>3018</v>
      </c>
      <c r="P33" s="1174"/>
      <c r="Q33" s="883"/>
    </row>
    <row r="34" spans="1:19" s="398" customFormat="1" ht="13.15" customHeight="1">
      <c r="A34" s="458"/>
      <c r="B34" s="720" t="str">
        <f>IF(OR(E32 = "Neither",E32 = "&lt;&lt;Select applicable option&gt;&gt;"), "Mortgage B","Mortgage C")</f>
        <v>Mortgage B</v>
      </c>
      <c r="C34" s="721"/>
      <c r="D34" s="722"/>
      <c r="E34" s="971"/>
      <c r="F34" s="1148"/>
      <c r="G34" s="1149"/>
      <c r="H34" s="1146"/>
      <c r="I34" s="1149"/>
      <c r="J34" s="882"/>
      <c r="K34" s="880"/>
      <c r="L34" s="880"/>
      <c r="M34" s="1171" t="str">
        <f>IF(OR(H34&lt;=0,H34=""),"",IF(O34="Amortizing",-PMT(J34/12,L34*12,H34,0,0)*12,""))</f>
        <v/>
      </c>
      <c r="N34" s="1172"/>
      <c r="O34" s="1173"/>
      <c r="P34" s="1174"/>
      <c r="Q34" s="883"/>
    </row>
    <row r="35" spans="1:19" s="398" customFormat="1" ht="13.15" customHeight="1">
      <c r="A35" s="458"/>
      <c r="B35" s="720" t="s">
        <v>1230</v>
      </c>
      <c r="C35" s="1173"/>
      <c r="D35" s="1174"/>
      <c r="E35" s="971"/>
      <c r="F35" s="1148"/>
      <c r="G35" s="1149"/>
      <c r="H35" s="1146"/>
      <c r="I35" s="1149"/>
      <c r="J35" s="882"/>
      <c r="K35" s="880"/>
      <c r="L35" s="880"/>
      <c r="M35" s="1171"/>
      <c r="N35" s="1172"/>
      <c r="O35" s="1173"/>
      <c r="P35" s="1174"/>
      <c r="Q35" s="883"/>
    </row>
    <row r="36" spans="1:19" s="398" customFormat="1" ht="13.15" customHeight="1">
      <c r="A36" s="458"/>
      <c r="B36" s="720" t="s">
        <v>2085</v>
      </c>
      <c r="C36" s="721"/>
      <c r="D36" s="722"/>
      <c r="E36" s="971"/>
      <c r="F36" s="1148"/>
      <c r="G36" s="1149"/>
      <c r="H36" s="1146"/>
      <c r="I36" s="1149"/>
      <c r="J36" s="882"/>
      <c r="K36" s="880"/>
      <c r="L36" s="880"/>
      <c r="M36" s="1171"/>
      <c r="N36" s="1172"/>
      <c r="O36" s="1173"/>
      <c r="P36" s="1174"/>
      <c r="Q36" s="883"/>
    </row>
    <row r="37" spans="1:19" s="398" customFormat="1" ht="13.15" customHeight="1">
      <c r="A37" s="458"/>
      <c r="B37" s="724" t="s">
        <v>292</v>
      </c>
      <c r="C37" s="725"/>
      <c r="D37" s="555">
        <f>IF(OR(H37="",H37=0,'Part IV-Uses of Funds'!$G$109="",'Part IV-Uses of Funds'!$G$109=0),"",H37/'Part IV-Uses of Funds'!$G$109)</f>
        <v>5.9099033570025146E-4</v>
      </c>
      <c r="E37" s="971" t="s">
        <v>4012</v>
      </c>
      <c r="F37" s="1148"/>
      <c r="G37" s="1149"/>
      <c r="H37" s="1146">
        <v>533</v>
      </c>
      <c r="I37" s="1149"/>
      <c r="J37" s="882">
        <v>4.0500000000000001E-2</v>
      </c>
      <c r="K37" s="880">
        <v>1</v>
      </c>
      <c r="L37" s="880">
        <v>1</v>
      </c>
      <c r="M37" s="1171"/>
      <c r="N37" s="1172"/>
      <c r="O37" s="1173" t="s">
        <v>1809</v>
      </c>
      <c r="P37" s="1174"/>
      <c r="Q37" s="883"/>
    </row>
    <row r="38" spans="1:19" s="398" customFormat="1" ht="13.15" customHeight="1">
      <c r="A38" s="458"/>
      <c r="B38" s="1132" t="s">
        <v>3333</v>
      </c>
      <c r="C38" s="1133"/>
      <c r="D38" s="1179"/>
      <c r="E38" s="971"/>
      <c r="F38" s="1148"/>
      <c r="G38" s="1149"/>
      <c r="H38" s="1175"/>
      <c r="I38" s="1176"/>
      <c r="K38" s="556"/>
      <c r="L38" s="556"/>
      <c r="M38" s="556"/>
      <c r="N38" s="556"/>
      <c r="O38" s="556"/>
      <c r="P38" s="556"/>
      <c r="Q38" s="556"/>
      <c r="S38" s="648" t="s">
        <v>808</v>
      </c>
    </row>
    <row r="39" spans="1:19" s="398" customFormat="1" ht="13.15" customHeight="1">
      <c r="A39" s="458"/>
      <c r="B39" s="1134" t="s">
        <v>1383</v>
      </c>
      <c r="C39" s="1135"/>
      <c r="D39" s="1136"/>
      <c r="E39" s="971"/>
      <c r="F39" s="1148"/>
      <c r="G39" s="1149"/>
      <c r="H39" s="1175"/>
      <c r="I39" s="1176"/>
      <c r="J39" s="1142" t="s">
        <v>809</v>
      </c>
      <c r="K39" s="1143"/>
      <c r="L39" s="652" t="s">
        <v>810</v>
      </c>
      <c r="M39" s="557"/>
      <c r="N39" s="557"/>
      <c r="O39" s="557"/>
      <c r="P39" s="557"/>
      <c r="Q39" s="556"/>
      <c r="S39" s="649" t="s">
        <v>3865</v>
      </c>
    </row>
    <row r="40" spans="1:19" s="398" customFormat="1" ht="13.15" customHeight="1">
      <c r="A40" s="458"/>
      <c r="B40" s="1134" t="s">
        <v>1384</v>
      </c>
      <c r="C40" s="1135"/>
      <c r="D40" s="1136"/>
      <c r="E40" s="971" t="s">
        <v>3962</v>
      </c>
      <c r="F40" s="977"/>
      <c r="G40" s="978"/>
      <c r="H40" s="1146">
        <v>5323582.5884999996</v>
      </c>
      <c r="I40" s="1147"/>
      <c r="J40" s="1144">
        <f>'Part IV-Uses of Funds'!$J$165*10*'Part IV-Uses of Funds'!$N$158</f>
        <v>5324115</v>
      </c>
      <c r="K40" s="1145"/>
      <c r="L40" s="653">
        <f>H40-J40</f>
        <v>-532.41150000039488</v>
      </c>
      <c r="M40" s="1114" t="s">
        <v>2537</v>
      </c>
      <c r="N40" s="1150"/>
      <c r="O40" s="1150"/>
      <c r="P40" s="1150"/>
      <c r="Q40" s="1151"/>
      <c r="S40" s="650">
        <f>H40/H50</f>
        <v>0.70058014361080678</v>
      </c>
    </row>
    <row r="41" spans="1:19" s="398" customFormat="1" ht="13.15" customHeight="1">
      <c r="A41" s="458"/>
      <c r="B41" s="1134" t="s">
        <v>1385</v>
      </c>
      <c r="C41" s="1135"/>
      <c r="D41" s="1136"/>
      <c r="E41" s="971" t="s">
        <v>3962</v>
      </c>
      <c r="F41" s="977"/>
      <c r="G41" s="978"/>
      <c r="H41" s="1146">
        <v>1774705</v>
      </c>
      <c r="I41" s="1147"/>
      <c r="J41" s="1144">
        <f>'Part IV-Uses of Funds'!$J$165*10*'Part IV-Uses of Funds'!$Q$158</f>
        <v>1774705</v>
      </c>
      <c r="K41" s="1145"/>
      <c r="L41" s="653">
        <f>H41-J41</f>
        <v>0</v>
      </c>
      <c r="M41" s="1152"/>
      <c r="N41" s="1141"/>
      <c r="O41" s="1141"/>
      <c r="P41" s="1141"/>
      <c r="Q41" s="1153"/>
      <c r="S41" s="650">
        <f>H41/H50</f>
        <v>0.23355006954389002</v>
      </c>
    </row>
    <row r="42" spans="1:19" s="398" customFormat="1" ht="13.15" customHeight="1">
      <c r="A42" s="458"/>
      <c r="B42" s="1134" t="s">
        <v>2120</v>
      </c>
      <c r="C42" s="1135"/>
      <c r="D42" s="1136"/>
      <c r="E42" s="971"/>
      <c r="F42" s="977"/>
      <c r="G42" s="978"/>
      <c r="H42" s="1146"/>
      <c r="I42" s="1147"/>
      <c r="M42" s="558" t="s">
        <v>3022</v>
      </c>
      <c r="N42" s="559" t="s">
        <v>3023</v>
      </c>
      <c r="O42" s="558">
        <v>8</v>
      </c>
      <c r="P42" s="558">
        <v>9</v>
      </c>
      <c r="Q42" s="558">
        <v>10</v>
      </c>
      <c r="S42" s="651">
        <f>SUM(S40:S41)</f>
        <v>0.9341302131546968</v>
      </c>
    </row>
    <row r="43" spans="1:19" s="398" customFormat="1" ht="13.15" customHeight="1">
      <c r="A43" s="458"/>
      <c r="B43" s="720" t="s">
        <v>824</v>
      </c>
      <c r="C43" s="721"/>
      <c r="D43" s="722"/>
      <c r="E43" s="971"/>
      <c r="F43" s="977"/>
      <c r="G43" s="978"/>
      <c r="H43" s="1146"/>
      <c r="I43" s="1147"/>
      <c r="K43" s="458"/>
      <c r="L43" s="458"/>
      <c r="M43" s="558" t="s">
        <v>3024</v>
      </c>
      <c r="N43" s="882"/>
      <c r="O43" s="882"/>
      <c r="P43" s="882"/>
      <c r="Q43" s="882"/>
      <c r="S43" s="458"/>
    </row>
    <row r="44" spans="1:19" s="398" customFormat="1" ht="13.15" customHeight="1">
      <c r="A44" s="458"/>
      <c r="B44" s="720" t="s">
        <v>2925</v>
      </c>
      <c r="C44" s="721"/>
      <c r="D44" s="722"/>
      <c r="E44" s="971"/>
      <c r="F44" s="977"/>
      <c r="G44" s="978"/>
      <c r="H44" s="1146"/>
      <c r="I44" s="1147"/>
      <c r="J44" s="458"/>
      <c r="M44" s="560">
        <v>11</v>
      </c>
      <c r="N44" s="560">
        <v>12</v>
      </c>
      <c r="O44" s="717">
        <v>13</v>
      </c>
      <c r="P44" s="558">
        <v>14</v>
      </c>
      <c r="Q44" s="558">
        <v>15</v>
      </c>
    </row>
    <row r="45" spans="1:19" s="398" customFormat="1" ht="13.15" customHeight="1">
      <c r="A45" s="458"/>
      <c r="B45" s="720" t="s">
        <v>2926</v>
      </c>
      <c r="C45" s="721"/>
      <c r="D45" s="722"/>
      <c r="E45" s="971"/>
      <c r="F45" s="977"/>
      <c r="G45" s="978"/>
      <c r="H45" s="1146"/>
      <c r="I45" s="1147"/>
      <c r="J45" s="458"/>
      <c r="M45" s="882"/>
      <c r="N45" s="882"/>
      <c r="O45" s="882"/>
      <c r="P45" s="882"/>
      <c r="Q45" s="882"/>
    </row>
    <row r="46" spans="1:19" s="398" customFormat="1" ht="13.15" customHeight="1">
      <c r="A46" s="458"/>
      <c r="B46" s="720" t="s">
        <v>1230</v>
      </c>
      <c r="C46" s="971"/>
      <c r="D46" s="978"/>
      <c r="E46" s="971"/>
      <c r="F46" s="977"/>
      <c r="G46" s="978"/>
      <c r="H46" s="1146"/>
      <c r="I46" s="1147"/>
      <c r="J46" s="458"/>
      <c r="M46" s="558">
        <v>16</v>
      </c>
      <c r="N46" s="558">
        <v>17</v>
      </c>
      <c r="O46" s="558">
        <v>18</v>
      </c>
      <c r="P46" s="723">
        <v>19</v>
      </c>
      <c r="Q46" s="723">
        <v>20</v>
      </c>
    </row>
    <row r="47" spans="1:19" s="398" customFormat="1" ht="13.15" customHeight="1">
      <c r="A47" s="458"/>
      <c r="B47" s="720" t="s">
        <v>1230</v>
      </c>
      <c r="C47" s="971"/>
      <c r="D47" s="978"/>
      <c r="E47" s="971"/>
      <c r="F47" s="977"/>
      <c r="G47" s="978"/>
      <c r="H47" s="1146"/>
      <c r="I47" s="1147"/>
      <c r="J47" s="458"/>
      <c r="K47" s="458"/>
      <c r="L47" s="558"/>
      <c r="M47" s="882"/>
      <c r="N47" s="882"/>
      <c r="O47" s="882"/>
      <c r="P47" s="882"/>
      <c r="Q47" s="882"/>
    </row>
    <row r="48" spans="1:19" s="398" customFormat="1" ht="13.15" customHeight="1">
      <c r="A48" s="458"/>
      <c r="B48" s="724" t="s">
        <v>1230</v>
      </c>
      <c r="C48" s="971"/>
      <c r="D48" s="978"/>
      <c r="E48" s="971"/>
      <c r="F48" s="977"/>
      <c r="G48" s="978"/>
      <c r="H48" s="1146"/>
      <c r="I48" s="1147"/>
      <c r="J48" s="458"/>
      <c r="K48" s="458"/>
      <c r="L48" s="558"/>
      <c r="M48" s="723">
        <v>21</v>
      </c>
      <c r="N48" s="723">
        <v>22</v>
      </c>
      <c r="O48" s="723">
        <v>23</v>
      </c>
      <c r="P48" s="723">
        <v>24</v>
      </c>
      <c r="Q48" s="723">
        <v>25</v>
      </c>
    </row>
    <row r="49" spans="1:17" s="398" customFormat="1" ht="13.15" customHeight="1">
      <c r="A49" s="458"/>
      <c r="B49" s="713" t="s">
        <v>3334</v>
      </c>
      <c r="C49" s="458"/>
      <c r="D49" s="458"/>
      <c r="E49" s="458"/>
      <c r="F49" s="458"/>
      <c r="G49" s="458"/>
      <c r="H49" s="1198">
        <f>SUM(H32:I48)</f>
        <v>7598820.5884999996</v>
      </c>
      <c r="I49" s="1199"/>
      <c r="J49" s="482"/>
      <c r="K49" s="458"/>
      <c r="L49" s="558"/>
      <c r="M49" s="882"/>
      <c r="N49" s="882"/>
      <c r="O49" s="882"/>
      <c r="P49" s="882"/>
      <c r="Q49" s="882"/>
    </row>
    <row r="50" spans="1:17" s="398" customFormat="1" ht="13.15" customHeight="1" thickBot="1">
      <c r="A50" s="458"/>
      <c r="B50" s="713" t="s">
        <v>3335</v>
      </c>
      <c r="C50" s="458"/>
      <c r="D50" s="458"/>
      <c r="E50" s="458"/>
      <c r="F50" s="458"/>
      <c r="G50" s="458"/>
      <c r="H50" s="1196">
        <f>'Part IV-Uses of Funds'!$G$123</f>
        <v>7598820.2592527494</v>
      </c>
      <c r="I50" s="1197"/>
      <c r="J50" s="482"/>
      <c r="K50" s="458"/>
      <c r="L50" s="558"/>
      <c r="M50" s="723">
        <v>26</v>
      </c>
      <c r="N50" s="723">
        <v>27</v>
      </c>
      <c r="O50" s="723">
        <v>28</v>
      </c>
      <c r="P50" s="723">
        <v>29</v>
      </c>
      <c r="Q50" s="723">
        <v>30</v>
      </c>
    </row>
    <row r="51" spans="1:17" s="398" customFormat="1" ht="13.15" customHeight="1" thickBot="1">
      <c r="A51" s="458"/>
      <c r="B51" s="464" t="s">
        <v>2276</v>
      </c>
      <c r="C51" s="458"/>
      <c r="D51" s="458"/>
      <c r="E51" s="458"/>
      <c r="F51" s="458"/>
      <c r="G51" s="458"/>
      <c r="H51" s="1177">
        <f>H49-H50</f>
        <v>0.32924725022166967</v>
      </c>
      <c r="I51" s="1178"/>
      <c r="J51" s="482"/>
      <c r="K51" s="458"/>
      <c r="L51" s="558"/>
      <c r="M51" s="882"/>
      <c r="N51" s="882"/>
      <c r="O51" s="882"/>
      <c r="P51" s="882"/>
      <c r="Q51" s="88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018" t="s">
        <v>3980</v>
      </c>
      <c r="B55" s="1189"/>
      <c r="C55" s="1189"/>
      <c r="D55" s="1189"/>
      <c r="E55" s="1189"/>
      <c r="F55" s="1189"/>
      <c r="G55" s="1189"/>
      <c r="H55" s="1189"/>
      <c r="I55" s="1189"/>
      <c r="J55" s="1190"/>
      <c r="K55" s="1021"/>
      <c r="L55" s="1189"/>
      <c r="M55" s="1189"/>
      <c r="N55" s="1189"/>
      <c r="O55" s="1189"/>
      <c r="P55" s="1189"/>
      <c r="Q55" s="1190"/>
    </row>
    <row r="56" spans="1:17" ht="51" customHeight="1">
      <c r="A56" s="1015" t="s">
        <v>4033</v>
      </c>
      <c r="B56" s="1191"/>
      <c r="C56" s="1191"/>
      <c r="D56" s="1191"/>
      <c r="E56" s="1191"/>
      <c r="F56" s="1191"/>
      <c r="G56" s="1191"/>
      <c r="H56" s="1191"/>
      <c r="I56" s="1191"/>
      <c r="J56" s="1192"/>
      <c r="K56" s="1012"/>
      <c r="L56" s="1191"/>
      <c r="M56" s="1191"/>
      <c r="N56" s="1191"/>
      <c r="O56" s="1191"/>
      <c r="P56" s="1191"/>
      <c r="Q56" s="1192"/>
    </row>
    <row r="57" spans="1:17" s="398" customFormat="1" ht="51" customHeight="1">
      <c r="A57" s="1015"/>
      <c r="B57" s="1191"/>
      <c r="C57" s="1191"/>
      <c r="D57" s="1191"/>
      <c r="E57" s="1191"/>
      <c r="F57" s="1191"/>
      <c r="G57" s="1191"/>
      <c r="H57" s="1191"/>
      <c r="I57" s="1191"/>
      <c r="J57" s="1192"/>
      <c r="K57" s="1012"/>
      <c r="L57" s="1191"/>
      <c r="M57" s="1191"/>
      <c r="N57" s="1191"/>
      <c r="O57" s="1191"/>
      <c r="P57" s="1191"/>
      <c r="Q57" s="1192"/>
    </row>
    <row r="58" spans="1:17" ht="51" customHeight="1">
      <c r="A58" s="1024"/>
      <c r="B58" s="1169"/>
      <c r="C58" s="1169"/>
      <c r="D58" s="1169"/>
      <c r="E58" s="1169"/>
      <c r="F58" s="1169"/>
      <c r="G58" s="1169"/>
      <c r="H58" s="1169"/>
      <c r="I58" s="1169"/>
      <c r="J58" s="1170"/>
      <c r="K58" s="1027"/>
      <c r="L58" s="1169"/>
      <c r="M58" s="1169"/>
      <c r="N58" s="1169"/>
      <c r="O58" s="1169"/>
      <c r="P58" s="1169"/>
      <c r="Q58" s="1170"/>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197" zoomScaleNormal="100" workbookViewId="0">
      <selection activeCell="A192"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1208" t="str">
        <f>CONCATENATE("PART III B: USD 538 LOAN","  -  ",'Part I-Project Information'!$O$4," ",'Part I-Project Information'!$F$22,", ",'Part I-Project Information'!$F$24,", ",'Part I-Project Information'!$J$25," County")</f>
        <v>PART III B: USD 538 LOAN  -  2011-012 Veteran Senior Housing - Assisted Living, Decatur, DeKalb County</v>
      </c>
      <c r="B1" s="1209"/>
      <c r="C1" s="1209"/>
      <c r="D1" s="1209"/>
      <c r="E1" s="1209"/>
      <c r="F1" s="1210"/>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1201" t="s">
        <v>278</v>
      </c>
      <c r="B3" s="1201"/>
      <c r="C3" s="1201"/>
      <c r="D3" s="1201"/>
      <c r="E3" s="1201"/>
      <c r="F3" s="1201"/>
      <c r="G3" s="275"/>
      <c r="H3" s="275"/>
    </row>
    <row r="4" spans="1:17" s="264" customFormat="1" ht="6" customHeight="1"/>
    <row r="5" spans="1:17">
      <c r="A5" s="42" t="s">
        <v>3386</v>
      </c>
      <c r="B5" s="42"/>
      <c r="C5" s="877"/>
      <c r="D5" s="374">
        <f>IF(C5&gt;1500000,1500000,0)</f>
        <v>0</v>
      </c>
      <c r="E5" s="375">
        <f>IF(C5&gt;1500000,C5-1500000,0)</f>
        <v>0</v>
      </c>
    </row>
    <row r="6" spans="1:17">
      <c r="A6" s="42" t="s">
        <v>3736</v>
      </c>
      <c r="B6" s="300" t="s">
        <v>745</v>
      </c>
      <c r="C6" s="376">
        <v>0</v>
      </c>
      <c r="D6" s="160" t="s">
        <v>746</v>
      </c>
      <c r="E6" s="42"/>
    </row>
    <row r="7" spans="1:17">
      <c r="A7" s="42"/>
      <c r="B7" s="300" t="s">
        <v>3752</v>
      </c>
      <c r="C7" s="878"/>
      <c r="D7" s="160" t="s">
        <v>2659</v>
      </c>
      <c r="E7" s="42"/>
    </row>
    <row r="8" spans="1:17" ht="13.15" customHeight="1">
      <c r="A8" s="42" t="s">
        <v>3740</v>
      </c>
      <c r="B8" s="42"/>
      <c r="C8" s="376">
        <v>0</v>
      </c>
      <c r="D8" s="160" t="s">
        <v>2660</v>
      </c>
      <c r="E8" s="42"/>
    </row>
    <row r="9" spans="1:17">
      <c r="A9" s="42" t="s">
        <v>2093</v>
      </c>
      <c r="B9" s="42"/>
      <c r="C9" s="879"/>
      <c r="D9" s="42"/>
      <c r="E9" s="42"/>
    </row>
    <row r="10" spans="1:17">
      <c r="A10" s="42" t="s">
        <v>2094</v>
      </c>
      <c r="B10" s="42"/>
      <c r="C10" s="879"/>
      <c r="D10" s="42"/>
      <c r="E10" s="42"/>
    </row>
    <row r="11" spans="1:17">
      <c r="A11" s="42" t="s">
        <v>2091</v>
      </c>
      <c r="B11" s="42"/>
      <c r="C11" s="377" t="e">
        <f>PMT(C7/12,C10*12,-C5,0,0)*12</f>
        <v>#NUM!</v>
      </c>
      <c r="D11" s="374" t="e">
        <f>PMT($C$7/12,$C$10*12,-D5,0,0)*12</f>
        <v>#NUM!</v>
      </c>
      <c r="E11" s="374" t="e">
        <f>PMT($C$7/12,$C$10*12,-E5,0,0)*12</f>
        <v>#NUM!</v>
      </c>
    </row>
    <row r="12" spans="1:17">
      <c r="A12" s="42" t="s">
        <v>2092</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1202" t="s">
        <v>143</v>
      </c>
      <c r="B14" s="1202"/>
      <c r="C14" s="1202"/>
      <c r="D14" s="1202"/>
      <c r="E14" s="1202"/>
      <c r="F14" s="1202"/>
      <c r="G14" s="275"/>
      <c r="H14" s="275"/>
    </row>
    <row r="15" spans="1:17" ht="5.45" customHeight="1">
      <c r="A15" s="34"/>
      <c r="E15" s="288"/>
      <c r="F15" s="275"/>
      <c r="G15" s="275"/>
      <c r="H15" s="275"/>
    </row>
    <row r="16" spans="1:17" ht="13.15" customHeight="1">
      <c r="A16" s="290" t="s">
        <v>3754</v>
      </c>
      <c r="B16" s="731" t="s">
        <v>3750</v>
      </c>
      <c r="C16" s="731" t="s">
        <v>3751</v>
      </c>
      <c r="D16" s="1211" t="s">
        <v>3385</v>
      </c>
      <c r="E16" s="1211"/>
      <c r="F16" s="275"/>
      <c r="G16" s="275"/>
      <c r="H16" s="275"/>
    </row>
    <row r="17" spans="1:8" ht="12.6" customHeight="1">
      <c r="A17" s="111">
        <v>1</v>
      </c>
      <c r="B17" s="265">
        <f>IF(A17&gt;$C$9,0,SUM(C64:C75)*($C$6/$C$7))</f>
        <v>0</v>
      </c>
      <c r="C17" s="289">
        <f>IF(A17&gt;C9,0,(E63+K63)*$C$8)</f>
        <v>0</v>
      </c>
      <c r="D17" s="1206">
        <f t="shared" ref="D17:D56" si="0">IF(A17&gt;$C$9,0,$C$11+C17)</f>
        <v>0</v>
      </c>
      <c r="E17" s="1206"/>
      <c r="F17" s="275"/>
      <c r="G17" s="275"/>
      <c r="H17" s="275"/>
    </row>
    <row r="18" spans="1:8" ht="12.6" customHeight="1">
      <c r="A18" s="111">
        <v>2</v>
      </c>
      <c r="B18" s="265">
        <f>IF(A18&gt;C9,0,SUM(C76:C87)*($C$6/$C$7))</f>
        <v>0</v>
      </c>
      <c r="C18" s="293">
        <f>IF(A18&gt;C9,0,(E75+K75)*$C$8)</f>
        <v>0</v>
      </c>
      <c r="D18" s="1204">
        <f t="shared" si="0"/>
        <v>0</v>
      </c>
      <c r="E18" s="1204"/>
      <c r="F18" s="275"/>
      <c r="G18" s="275"/>
      <c r="H18" s="275"/>
    </row>
    <row r="19" spans="1:8" ht="12.6" customHeight="1">
      <c r="A19" s="111">
        <v>3</v>
      </c>
      <c r="B19" s="265">
        <f>IF(A19&gt;C9,0,SUM(C88:C99)*($C$6/$C$7))</f>
        <v>0</v>
      </c>
      <c r="C19" s="289">
        <f>IF(A19&gt;C9,0,(E87+K87)*$C$8)</f>
        <v>0</v>
      </c>
      <c r="D19" s="1204">
        <f t="shared" si="0"/>
        <v>0</v>
      </c>
      <c r="E19" s="1204"/>
      <c r="F19" s="275"/>
      <c r="G19" s="275"/>
      <c r="H19" s="275"/>
    </row>
    <row r="20" spans="1:8" ht="12.6" customHeight="1">
      <c r="A20" s="111">
        <v>4</v>
      </c>
      <c r="B20" s="265">
        <f>IF(A20&gt;C9,0,SUM(C100:C111)*($C$6/$C$7))</f>
        <v>0</v>
      </c>
      <c r="C20" s="289">
        <f>IF(A20&gt;C9,0,(E99+K99)*$C$8)</f>
        <v>0</v>
      </c>
      <c r="D20" s="1204">
        <f t="shared" si="0"/>
        <v>0</v>
      </c>
      <c r="E20" s="1204"/>
      <c r="F20" s="275"/>
      <c r="G20" s="275"/>
      <c r="H20" s="275"/>
    </row>
    <row r="21" spans="1:8" ht="12.6" customHeight="1">
      <c r="A21" s="111">
        <v>5</v>
      </c>
      <c r="B21" s="265">
        <f>IF(A21&gt;C9,0,SUM(C112:C123)*($C$6/$C$7))</f>
        <v>0</v>
      </c>
      <c r="C21" s="289">
        <f>IF(A21&gt;C9,0,(E111+K111)*$C$8)</f>
        <v>0</v>
      </c>
      <c r="D21" s="1205">
        <f t="shared" si="0"/>
        <v>0</v>
      </c>
      <c r="E21" s="1205"/>
      <c r="F21" s="275"/>
      <c r="G21" s="275"/>
      <c r="H21" s="275"/>
    </row>
    <row r="22" spans="1:8" ht="12.6" customHeight="1">
      <c r="A22" s="266">
        <v>6</v>
      </c>
      <c r="B22" s="267">
        <f>IF(A22&gt;C9,0,SUM(C124:C135)*($C$6/$C$7))</f>
        <v>0</v>
      </c>
      <c r="C22" s="730">
        <f>IF(A22&gt;C9,0,(E123+K123)*$C$8)</f>
        <v>0</v>
      </c>
      <c r="D22" s="1204">
        <f t="shared" si="0"/>
        <v>0</v>
      </c>
      <c r="E22" s="1204"/>
      <c r="F22" s="275"/>
      <c r="G22" s="275"/>
      <c r="H22" s="275"/>
    </row>
    <row r="23" spans="1:8" ht="12.6" customHeight="1">
      <c r="A23" s="268">
        <v>7</v>
      </c>
      <c r="B23" s="269">
        <f>IF(A23&gt;C9,0,SUM(C136:C147)*($C$6/$C$7))</f>
        <v>0</v>
      </c>
      <c r="C23" s="728">
        <f>IF(A23&gt;C9,0,(E135+K135)*$C$8)</f>
        <v>0</v>
      </c>
      <c r="D23" s="1204">
        <f t="shared" si="0"/>
        <v>0</v>
      </c>
      <c r="E23" s="1204"/>
      <c r="F23" s="275"/>
      <c r="G23" s="275"/>
      <c r="H23" s="275"/>
    </row>
    <row r="24" spans="1:8" ht="12.6" customHeight="1">
      <c r="A24" s="268">
        <v>8</v>
      </c>
      <c r="B24" s="269">
        <f>IF(A24&gt;C9,0,SUM(C148:C159)*($C$6/$C$7))</f>
        <v>0</v>
      </c>
      <c r="C24" s="728">
        <f>IF(A24&gt;C9,0,(E147+K147)*$C$8)</f>
        <v>0</v>
      </c>
      <c r="D24" s="1204">
        <f t="shared" si="0"/>
        <v>0</v>
      </c>
      <c r="E24" s="1204"/>
      <c r="F24" s="275"/>
      <c r="G24" s="275"/>
      <c r="H24" s="275"/>
    </row>
    <row r="25" spans="1:8" ht="12.6" customHeight="1">
      <c r="A25" s="268">
        <v>9</v>
      </c>
      <c r="B25" s="269">
        <f>IF(A25&gt;C9,0,SUM(C160:C171)*($C$6/$C$7))</f>
        <v>0</v>
      </c>
      <c r="C25" s="728">
        <f>IF(A25&gt;C9,0,(E159+K159)*$C$8)</f>
        <v>0</v>
      </c>
      <c r="D25" s="1204">
        <f t="shared" si="0"/>
        <v>0</v>
      </c>
      <c r="E25" s="1204"/>
      <c r="F25" s="275"/>
      <c r="G25" s="275"/>
      <c r="H25" s="275"/>
    </row>
    <row r="26" spans="1:8" ht="12.6" customHeight="1">
      <c r="A26" s="270">
        <v>10</v>
      </c>
      <c r="B26" s="271">
        <f>IF(A26&gt;C9,0,SUM(C172:C183)*($C$6/$C$7))</f>
        <v>0</v>
      </c>
      <c r="C26" s="729">
        <f>IF(A26&gt;C9,0,(E171+K171)*$C$8)</f>
        <v>0</v>
      </c>
      <c r="D26" s="1205">
        <f t="shared" si="0"/>
        <v>0</v>
      </c>
      <c r="E26" s="1205"/>
      <c r="F26" s="275"/>
      <c r="G26" s="275"/>
      <c r="H26" s="275"/>
    </row>
    <row r="27" spans="1:8" ht="12.6" customHeight="1">
      <c r="A27" s="272">
        <v>11</v>
      </c>
      <c r="B27" s="265">
        <f>IF(A27&gt;C9,0,SUM(C184:C195)*($C$6/$C$7))</f>
        <v>0</v>
      </c>
      <c r="C27" s="289">
        <f>IF(A27&gt;C9,0,(E183+K183)*$C$8)</f>
        <v>0</v>
      </c>
      <c r="D27" s="1204">
        <f t="shared" si="0"/>
        <v>0</v>
      </c>
      <c r="E27" s="1204"/>
      <c r="F27" s="275"/>
      <c r="G27" s="275"/>
      <c r="H27" s="275"/>
    </row>
    <row r="28" spans="1:8" ht="12.6" customHeight="1">
      <c r="A28" s="272">
        <v>12</v>
      </c>
      <c r="B28" s="265">
        <f>IF(A28&gt;C9,0,SUM(C196:C207)*($C$6/$C$7))</f>
        <v>0</v>
      </c>
      <c r="C28" s="289">
        <f>IF(A28&gt;C9,0,(E195+K195)*$C$8)</f>
        <v>0</v>
      </c>
      <c r="D28" s="1204">
        <f t="shared" si="0"/>
        <v>0</v>
      </c>
      <c r="E28" s="1204"/>
      <c r="F28" s="275"/>
      <c r="G28" s="275"/>
      <c r="H28" s="275"/>
    </row>
    <row r="29" spans="1:8" ht="12.6" customHeight="1">
      <c r="A29" s="272">
        <v>13</v>
      </c>
      <c r="B29" s="265">
        <f>IF(A29&gt;C9,0,SUM(C208:C219)*($C$6/$C$7))</f>
        <v>0</v>
      </c>
      <c r="C29" s="289">
        <f>IF(A29&gt;C9,0,(E207+K207)*$C$8)</f>
        <v>0</v>
      </c>
      <c r="D29" s="1204">
        <f t="shared" si="0"/>
        <v>0</v>
      </c>
      <c r="E29" s="1204"/>
      <c r="F29" s="275"/>
      <c r="G29" s="275"/>
      <c r="H29" s="275"/>
    </row>
    <row r="30" spans="1:8" ht="12.6" customHeight="1">
      <c r="A30" s="272">
        <v>14</v>
      </c>
      <c r="B30" s="265">
        <f>IF(A30&gt;C9,0,SUM(C220:C231)*($C$6/$C$7))</f>
        <v>0</v>
      </c>
      <c r="C30" s="289">
        <f>IF(A30&gt;C9,0,(E219+K219)*$C$8)</f>
        <v>0</v>
      </c>
      <c r="D30" s="1204">
        <f t="shared" si="0"/>
        <v>0</v>
      </c>
      <c r="E30" s="1204"/>
      <c r="F30" s="275"/>
      <c r="G30" s="275"/>
      <c r="H30" s="275"/>
    </row>
    <row r="31" spans="1:8" ht="12.6" customHeight="1">
      <c r="A31" s="272">
        <v>15</v>
      </c>
      <c r="B31" s="265">
        <f>IF(A31&gt;C9,0,SUM(C232:C243)*($C$6/$C$7))</f>
        <v>0</v>
      </c>
      <c r="C31" s="289">
        <f>IF(A31&gt;C9,0,(E231+K231)*$C$8)</f>
        <v>0</v>
      </c>
      <c r="D31" s="1205">
        <f t="shared" si="0"/>
        <v>0</v>
      </c>
      <c r="E31" s="1205"/>
      <c r="F31" s="275"/>
      <c r="G31" s="275"/>
      <c r="H31" s="275"/>
    </row>
    <row r="32" spans="1:8" ht="12.6" customHeight="1">
      <c r="A32" s="274">
        <v>16</v>
      </c>
      <c r="B32" s="267">
        <f>IF(A32&gt;C9,0,SUM(C244:C255)*($C$6/$C$7))</f>
        <v>0</v>
      </c>
      <c r="C32" s="730">
        <f>IF(A32&gt;C9,0,(E243+K243)*$C$8)</f>
        <v>0</v>
      </c>
      <c r="D32" s="1204">
        <f t="shared" si="0"/>
        <v>0</v>
      </c>
      <c r="E32" s="1204"/>
      <c r="F32" s="275"/>
      <c r="G32" s="275"/>
      <c r="H32" s="275"/>
    </row>
    <row r="33" spans="1:8" ht="12.6" customHeight="1">
      <c r="A33" s="268">
        <v>17</v>
      </c>
      <c r="B33" s="269">
        <f>IF(A33&gt;C9,0,SUM(C256:C267)*($C$6/$C$7))</f>
        <v>0</v>
      </c>
      <c r="C33" s="728">
        <f>IF(A33&gt;C9,0,(E255+K255)*$C$8)</f>
        <v>0</v>
      </c>
      <c r="D33" s="1204">
        <f t="shared" si="0"/>
        <v>0</v>
      </c>
      <c r="E33" s="1204"/>
      <c r="F33" s="275"/>
      <c r="G33" s="275"/>
      <c r="H33" s="275"/>
    </row>
    <row r="34" spans="1:8" ht="12.6" customHeight="1">
      <c r="A34" s="268">
        <v>18</v>
      </c>
      <c r="B34" s="269">
        <f>IF(A34&gt;C9,0,SUM(C268:C279)*($C$6/$C$7))</f>
        <v>0</v>
      </c>
      <c r="C34" s="728">
        <f>IF(A34&gt;C9,0,(E267+K267)*$C$8)</f>
        <v>0</v>
      </c>
      <c r="D34" s="1204">
        <f t="shared" si="0"/>
        <v>0</v>
      </c>
      <c r="E34" s="1204"/>
      <c r="F34" s="275"/>
      <c r="G34" s="275"/>
      <c r="H34" s="275"/>
    </row>
    <row r="35" spans="1:8" ht="12.6" customHeight="1">
      <c r="A35" s="268">
        <v>19</v>
      </c>
      <c r="B35" s="269">
        <f>IF(A35&gt;C9,0,SUM(C280:C291)*($C$6/$C$7))</f>
        <v>0</v>
      </c>
      <c r="C35" s="728">
        <f>IF(A35&gt;C9,0,(E279+K279)*$C$8)</f>
        <v>0</v>
      </c>
      <c r="D35" s="1204">
        <f t="shared" si="0"/>
        <v>0</v>
      </c>
      <c r="E35" s="1204"/>
      <c r="F35" s="275"/>
      <c r="G35" s="275"/>
      <c r="H35" s="275"/>
    </row>
    <row r="36" spans="1:8" ht="12.6" customHeight="1">
      <c r="A36" s="270">
        <v>20</v>
      </c>
      <c r="B36" s="271">
        <f>IF(A36&gt;C9,0,SUM(C292:C303)*($C$6/$C$7))</f>
        <v>0</v>
      </c>
      <c r="C36" s="729">
        <f>IF(A36&gt;C9,0,(E291+K291)*$C$8)</f>
        <v>0</v>
      </c>
      <c r="D36" s="1205">
        <f t="shared" si="0"/>
        <v>0</v>
      </c>
      <c r="E36" s="1205"/>
      <c r="F36" s="275"/>
      <c r="G36" s="275"/>
      <c r="H36" s="275"/>
    </row>
    <row r="37" spans="1:8" ht="12.6" customHeight="1">
      <c r="A37" s="111">
        <v>21</v>
      </c>
      <c r="B37" s="267">
        <f>IF(A37&gt;C9,0,SUM(C293:C304)*($C$6/$C$7))</f>
        <v>0</v>
      </c>
      <c r="C37" s="730">
        <f>IF(A37&gt;C9,0,(E303+K303)*$C$8)</f>
        <v>0</v>
      </c>
      <c r="D37" s="1207">
        <f t="shared" si="0"/>
        <v>0</v>
      </c>
      <c r="E37" s="1207"/>
      <c r="F37" s="275"/>
      <c r="G37" s="275"/>
      <c r="H37" s="275"/>
    </row>
    <row r="38" spans="1:8" ht="12.6" customHeight="1">
      <c r="A38" s="111">
        <v>22</v>
      </c>
      <c r="B38" s="269">
        <f>IF(A38&gt;C9,0,SUM(C294:C305)*($C$6/$C$7))</f>
        <v>0</v>
      </c>
      <c r="C38" s="728">
        <f>IF(A38&gt;C9,0,(E315+K315)*$C$8)</f>
        <v>0</v>
      </c>
      <c r="D38" s="1204">
        <f t="shared" si="0"/>
        <v>0</v>
      </c>
      <c r="E38" s="1204"/>
      <c r="F38" s="275"/>
      <c r="G38" s="275"/>
      <c r="H38" s="275"/>
    </row>
    <row r="39" spans="1:8" ht="12.6" customHeight="1">
      <c r="A39" s="111">
        <v>23</v>
      </c>
      <c r="B39" s="269">
        <f>IF(A39&gt;C9,0,SUM(C295:C306)*($C$6/$C$7))</f>
        <v>0</v>
      </c>
      <c r="C39" s="728">
        <f>IF(A39&gt;C9,0,(E327+K327)*$C$8)</f>
        <v>0</v>
      </c>
      <c r="D39" s="1204">
        <f t="shared" si="0"/>
        <v>0</v>
      </c>
      <c r="E39" s="1204"/>
      <c r="F39" s="275"/>
      <c r="G39" s="275"/>
      <c r="H39" s="275"/>
    </row>
    <row r="40" spans="1:8" ht="12.6" customHeight="1">
      <c r="A40" s="111">
        <v>24</v>
      </c>
      <c r="B40" s="269">
        <f>IF(A40&gt;C9,0,SUM(C296:C307)*($C$6/$C$7))</f>
        <v>0</v>
      </c>
      <c r="C40" s="728">
        <f>IF(A40&gt;C9,0,(E339+K339)*$C$8)</f>
        <v>0</v>
      </c>
      <c r="D40" s="1204">
        <f t="shared" si="0"/>
        <v>0</v>
      </c>
      <c r="E40" s="1204"/>
      <c r="F40" s="275"/>
      <c r="G40" s="275"/>
      <c r="H40" s="275"/>
    </row>
    <row r="41" spans="1:8" ht="12.6" customHeight="1">
      <c r="A41" s="111">
        <v>25</v>
      </c>
      <c r="B41" s="271">
        <f>IF(A41&gt;C9,0,SUM(C297:C308)*($C$6/$C$7))</f>
        <v>0</v>
      </c>
      <c r="C41" s="729">
        <f>IF(A41&gt;C9,0,(E351+K351)*$C$8)</f>
        <v>0</v>
      </c>
      <c r="D41" s="1205">
        <f t="shared" si="0"/>
        <v>0</v>
      </c>
      <c r="E41" s="1205"/>
      <c r="F41" s="275"/>
      <c r="G41" s="275"/>
      <c r="H41" s="275"/>
    </row>
    <row r="42" spans="1:8" ht="12.6" customHeight="1">
      <c r="A42" s="266">
        <v>26</v>
      </c>
      <c r="B42" s="267">
        <f>IF(A42&gt;C9,0,SUM(C298:C309)*($C$6/$C$7))</f>
        <v>0</v>
      </c>
      <c r="C42" s="730">
        <f>IF(A42&gt;C9,0,(E363+K363)*$C$8)</f>
        <v>0</v>
      </c>
      <c r="D42" s="1207">
        <f t="shared" si="0"/>
        <v>0</v>
      </c>
      <c r="E42" s="1207"/>
      <c r="F42" s="275"/>
      <c r="G42" s="275"/>
      <c r="H42" s="275"/>
    </row>
    <row r="43" spans="1:8" ht="12.6" customHeight="1">
      <c r="A43" s="268">
        <v>27</v>
      </c>
      <c r="B43" s="269">
        <f>IF(A43&gt;C9,0,SUM(C299:C310)*($C$6/$C$7))</f>
        <v>0</v>
      </c>
      <c r="C43" s="728">
        <f>IF(A43&gt;C9,0,(E375+K375)*$C$8)</f>
        <v>0</v>
      </c>
      <c r="D43" s="1204">
        <f t="shared" si="0"/>
        <v>0</v>
      </c>
      <c r="E43" s="1204"/>
      <c r="F43" s="275"/>
      <c r="G43" s="275"/>
      <c r="H43" s="275"/>
    </row>
    <row r="44" spans="1:8" ht="12.6" customHeight="1">
      <c r="A44" s="268">
        <v>28</v>
      </c>
      <c r="B44" s="269">
        <f>IF(A44&gt;C9,0,SUM(C300:C311)*($C$6/$C$7))</f>
        <v>0</v>
      </c>
      <c r="C44" s="728">
        <f>IF(A44&gt;C9,0,(E387+K387)*$C$8)</f>
        <v>0</v>
      </c>
      <c r="D44" s="1204">
        <f t="shared" si="0"/>
        <v>0</v>
      </c>
      <c r="E44" s="1204"/>
      <c r="F44" s="275"/>
      <c r="G44" s="275"/>
      <c r="H44" s="275"/>
    </row>
    <row r="45" spans="1:8" ht="12.6" customHeight="1">
      <c r="A45" s="268">
        <v>29</v>
      </c>
      <c r="B45" s="269">
        <f>IF(A45&gt;C9,0,SUM(C301:C312)*($C$6/$C$7))</f>
        <v>0</v>
      </c>
      <c r="C45" s="728">
        <f>IF(A45&gt;C9,0,(E411+K411)*$C$8)</f>
        <v>0</v>
      </c>
      <c r="D45" s="1204">
        <f t="shared" si="0"/>
        <v>0</v>
      </c>
      <c r="E45" s="1204"/>
      <c r="F45" s="275"/>
      <c r="G45" s="275"/>
      <c r="H45" s="275"/>
    </row>
    <row r="46" spans="1:8" ht="12.6" customHeight="1">
      <c r="A46" s="270">
        <v>30</v>
      </c>
      <c r="B46" s="271">
        <f>IF(A46&gt;C9,0,SUM(C302:C313)*($C$6/$C$7))</f>
        <v>0</v>
      </c>
      <c r="C46" s="729">
        <f>IF(A46&gt;C9,0,(E423+K423)*$C$8)</f>
        <v>0</v>
      </c>
      <c r="D46" s="1205">
        <f t="shared" si="0"/>
        <v>0</v>
      </c>
      <c r="E46" s="1205"/>
      <c r="F46" s="275"/>
      <c r="G46" s="275"/>
      <c r="H46" s="275"/>
    </row>
    <row r="47" spans="1:8" ht="12.6" customHeight="1">
      <c r="A47" s="274">
        <v>31</v>
      </c>
      <c r="B47" s="267">
        <f>IF(A47&gt;C9,0,SUM(C303:C314)*($C$6/$C$7))</f>
        <v>0</v>
      </c>
      <c r="C47" s="730">
        <f>IF(A47&gt;C9,0,(E435+K435)*$C$8)</f>
        <v>0</v>
      </c>
      <c r="D47" s="1207">
        <f t="shared" si="0"/>
        <v>0</v>
      </c>
      <c r="E47" s="1207"/>
      <c r="F47" s="275"/>
      <c r="G47" s="275"/>
      <c r="H47" s="275"/>
    </row>
    <row r="48" spans="1:8" ht="12.6" customHeight="1">
      <c r="A48" s="268">
        <v>32</v>
      </c>
      <c r="B48" s="269">
        <f>IF(A48&gt;C9,0,SUM(C304:C315)*($C$6/$C$7))</f>
        <v>0</v>
      </c>
      <c r="C48" s="728">
        <f>IF(A48&gt;C9,0,(E447+K447)*$C$8)</f>
        <v>0</v>
      </c>
      <c r="D48" s="1204">
        <f t="shared" si="0"/>
        <v>0</v>
      </c>
      <c r="E48" s="1204"/>
      <c r="F48" s="275"/>
      <c r="G48" s="275"/>
      <c r="H48" s="275"/>
    </row>
    <row r="49" spans="1:12" ht="12.6" customHeight="1">
      <c r="A49" s="268">
        <v>33</v>
      </c>
      <c r="B49" s="269">
        <f>IF(A49&gt;C9,0,SUM(C305:C316)*($C$6/$C$7))</f>
        <v>0</v>
      </c>
      <c r="C49" s="728">
        <f>IF(A49&gt;C9,0,(E459+K459)*$C$8)</f>
        <v>0</v>
      </c>
      <c r="D49" s="1204">
        <f t="shared" si="0"/>
        <v>0</v>
      </c>
      <c r="E49" s="1204"/>
      <c r="F49" s="275"/>
      <c r="G49" s="275"/>
      <c r="H49" s="275"/>
    </row>
    <row r="50" spans="1:12" ht="12.6" customHeight="1">
      <c r="A50" s="268">
        <v>34</v>
      </c>
      <c r="B50" s="269">
        <f>IF(A50&gt;C9,0,SUM(C306:C317)*($C$6/$C$7))</f>
        <v>0</v>
      </c>
      <c r="C50" s="728">
        <f>IF(A50&gt;C9,0,(E471+K471)*$C$8)</f>
        <v>0</v>
      </c>
      <c r="D50" s="1204">
        <f t="shared" si="0"/>
        <v>0</v>
      </c>
      <c r="E50" s="1204"/>
      <c r="F50" s="275"/>
      <c r="G50" s="275"/>
      <c r="H50" s="275"/>
    </row>
    <row r="51" spans="1:12" ht="12.6" customHeight="1">
      <c r="A51" s="270">
        <v>35</v>
      </c>
      <c r="B51" s="271">
        <f>IF(A51&gt;C9,0,SUM(C307:C318)*($C$6/$C$7))</f>
        <v>0</v>
      </c>
      <c r="C51" s="729">
        <f>IF(A51&gt;C9,0,(E483+K483)*$C$8)</f>
        <v>0</v>
      </c>
      <c r="D51" s="1205">
        <f t="shared" si="0"/>
        <v>0</v>
      </c>
      <c r="E51" s="1205"/>
      <c r="F51" s="275"/>
      <c r="G51" s="275"/>
      <c r="H51" s="275"/>
    </row>
    <row r="52" spans="1:12" ht="12.6" customHeight="1">
      <c r="A52" s="274">
        <v>36</v>
      </c>
      <c r="B52" s="267">
        <f>IF(A52&gt;C9,0,SUM(C308:C319)*($C$6/$C$7))</f>
        <v>0</v>
      </c>
      <c r="C52" s="730">
        <f>IF(A52&gt;C9,0,(E495+K495)*$C$8)</f>
        <v>0</v>
      </c>
      <c r="D52" s="1207">
        <f t="shared" si="0"/>
        <v>0</v>
      </c>
      <c r="E52" s="1207"/>
      <c r="F52" s="275"/>
      <c r="G52" s="275"/>
      <c r="H52" s="275"/>
    </row>
    <row r="53" spans="1:12" ht="12.6" customHeight="1">
      <c r="A53" s="268">
        <v>37</v>
      </c>
      <c r="B53" s="269">
        <f>IF(A53&gt;C9,0,SUM(C309:C320)*($C$6/$C$7))</f>
        <v>0</v>
      </c>
      <c r="C53" s="728">
        <f>IF(A53&gt;C9,0,(E507+K507)*$C$8)</f>
        <v>0</v>
      </c>
      <c r="D53" s="1204">
        <f t="shared" si="0"/>
        <v>0</v>
      </c>
      <c r="E53" s="1204"/>
      <c r="F53" s="275"/>
      <c r="G53" s="275"/>
      <c r="H53" s="275"/>
    </row>
    <row r="54" spans="1:12" ht="12.6" customHeight="1">
      <c r="A54" s="268">
        <v>38</v>
      </c>
      <c r="B54" s="269">
        <f>IF(A54&gt;C9,0,SUM(C310:C321)*($C$6/$C$7))</f>
        <v>0</v>
      </c>
      <c r="C54" s="728">
        <f>IF(A54&gt;C9,0,(E519+K519)*$C$8)</f>
        <v>0</v>
      </c>
      <c r="D54" s="1204">
        <f t="shared" si="0"/>
        <v>0</v>
      </c>
      <c r="E54" s="1204"/>
      <c r="F54" s="275"/>
      <c r="G54" s="275"/>
      <c r="H54" s="275"/>
    </row>
    <row r="55" spans="1:12" ht="12.6" customHeight="1">
      <c r="A55" s="268">
        <v>39</v>
      </c>
      <c r="B55" s="269">
        <f>IF(A55&gt;C9,0,SUM(C311:C322)*($C$6/$C$7))</f>
        <v>0</v>
      </c>
      <c r="C55" s="728">
        <f>IF(A55&gt;C9,0,(E531+K531)*$C$8)</f>
        <v>0</v>
      </c>
      <c r="D55" s="1204">
        <f t="shared" si="0"/>
        <v>0</v>
      </c>
      <c r="E55" s="1204"/>
      <c r="F55" s="275"/>
      <c r="G55" s="275"/>
      <c r="H55" s="275"/>
    </row>
    <row r="56" spans="1:12" ht="12.6" customHeight="1">
      <c r="A56" s="270">
        <v>40</v>
      </c>
      <c r="B56" s="271">
        <f>IF(A56&gt;C9,0,SUM(C312:C323)*($C$6/$C$7))</f>
        <v>0</v>
      </c>
      <c r="C56" s="729">
        <f>IF(A56&gt;C9,0,(E543+K543)*$C$8)</f>
        <v>0</v>
      </c>
      <c r="D56" s="1205">
        <f t="shared" si="0"/>
        <v>0</v>
      </c>
      <c r="E56" s="1205"/>
      <c r="F56" s="275"/>
      <c r="G56" s="275"/>
      <c r="H56" s="275"/>
    </row>
    <row r="57" spans="1:12" ht="3" customHeight="1">
      <c r="A57" s="275"/>
      <c r="B57" s="275"/>
      <c r="C57" s="275"/>
      <c r="D57" s="275"/>
      <c r="E57" s="275"/>
      <c r="F57" s="275"/>
      <c r="G57" s="275"/>
      <c r="H57" s="275"/>
    </row>
    <row r="58" spans="1:12" ht="13.15" customHeight="1">
      <c r="A58" s="1203" t="str">
        <f>CONCATENATE('Part I-Project Information'!$O$4," ",'Part I-Project Information'!$F$22,", ",'Part I-Project Information'!$F$24,", ",'Part I-Project Information'!$J$25," County")</f>
        <v>2011-012 Veteran Senior Housing - Assisted Living, Decatur, DeKalb County</v>
      </c>
      <c r="B58" s="1203"/>
      <c r="C58" s="1203"/>
      <c r="D58" s="1203"/>
      <c r="E58" s="1203"/>
      <c r="F58" s="1203"/>
      <c r="G58" s="1203" t="str">
        <f>CONCATENATE('Part I-Project Information'!$O$4," ",'Part I-Project Information'!$F$22,", ",'Part I-Project Information'!$F$24,", ",'Part I-Project Information'!$J$25," County")</f>
        <v>2011-012 Veteran Senior Housing - Assisted Living, Decatur, DeKalb County</v>
      </c>
      <c r="H58" s="1203"/>
      <c r="I58" s="1203"/>
      <c r="J58" s="1203"/>
      <c r="K58" s="1203"/>
      <c r="L58" s="1203"/>
    </row>
    <row r="59" spans="1:12" ht="15">
      <c r="A59" s="1200" t="s">
        <v>3744</v>
      </c>
      <c r="B59" s="1200"/>
      <c r="C59" s="1200"/>
      <c r="D59" s="1200"/>
      <c r="E59" s="1200"/>
      <c r="F59" s="1200"/>
      <c r="G59" s="1200" t="s">
        <v>3744</v>
      </c>
      <c r="H59" s="1200"/>
      <c r="I59" s="1200"/>
      <c r="J59" s="1200"/>
      <c r="K59" s="1200"/>
      <c r="L59" s="1200"/>
    </row>
    <row r="60" spans="1:12" ht="6" customHeight="1">
      <c r="C60" s="273"/>
      <c r="D60" s="273"/>
      <c r="I60" s="273"/>
      <c r="J60" s="273"/>
    </row>
    <row r="61" spans="1:12">
      <c r="A61" s="276" t="s">
        <v>3745</v>
      </c>
      <c r="B61" s="277" t="s">
        <v>3746</v>
      </c>
      <c r="C61" s="277" t="s">
        <v>1994</v>
      </c>
      <c r="D61" s="277" t="s">
        <v>3747</v>
      </c>
      <c r="E61" s="276" t="s">
        <v>3748</v>
      </c>
      <c r="F61" s="307" t="s">
        <v>3754</v>
      </c>
      <c r="G61" s="276" t="s">
        <v>3745</v>
      </c>
      <c r="H61" s="277" t="s">
        <v>3746</v>
      </c>
      <c r="I61" s="277" t="s">
        <v>1994</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197" zoomScaleNormal="100" workbookViewId="0">
      <selection activeCell="A192" sqref="A1:XFD104857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1208" t="str">
        <f>CONCATENATE("PART III C  - HUD INSURED LOAN","  -  ",'Part I-Project Information'!$O$4," ",'Part I-Project Information'!$F$22,", ",'Part I-Project Information'!$F$24,", ",'Part I-Project Information'!$J$25," County")</f>
        <v>PART III C  - HUD INSURED LOAN  -  2011-012 Veteran Senior Housing - Assisted Living, Decatur, DeKalb County</v>
      </c>
      <c r="B1" s="1209"/>
      <c r="C1" s="1209"/>
      <c r="D1" s="1209"/>
      <c r="E1" s="1209"/>
      <c r="F1" s="1210"/>
      <c r="G1" s="231"/>
      <c r="H1" s="231"/>
      <c r="I1" s="231"/>
      <c r="J1" s="231"/>
      <c r="K1" s="231"/>
      <c r="L1" s="231"/>
      <c r="M1" s="231"/>
      <c r="N1" s="231"/>
      <c r="O1" s="231"/>
      <c r="P1" s="231"/>
      <c r="Q1" s="231"/>
    </row>
    <row r="2" spans="1:17">
      <c r="A2" s="16"/>
      <c r="B2" s="264"/>
      <c r="C2" s="264"/>
      <c r="D2" s="264"/>
    </row>
    <row r="3" spans="1:17" ht="15.6" customHeight="1">
      <c r="A3" s="1201" t="s">
        <v>278</v>
      </c>
      <c r="B3" s="1201"/>
      <c r="C3" s="1201"/>
      <c r="D3" s="1201"/>
      <c r="E3" s="1201"/>
      <c r="F3" s="1201"/>
      <c r="G3" s="317"/>
      <c r="H3" s="317"/>
    </row>
    <row r="4" spans="1:17">
      <c r="A4" s="16"/>
      <c r="B4" s="264"/>
      <c r="C4" s="264"/>
      <c r="D4" s="264"/>
    </row>
    <row r="5" spans="1:17" ht="13.15" customHeight="1">
      <c r="A5" s="31" t="s">
        <v>3386</v>
      </c>
      <c r="D5" s="873"/>
      <c r="E5" s="1212" t="s">
        <v>1552</v>
      </c>
      <c r="F5" s="1213"/>
      <c r="G5" s="219"/>
    </row>
    <row r="6" spans="1:17">
      <c r="E6" s="1213"/>
      <c r="F6" s="1213"/>
      <c r="G6" s="219"/>
    </row>
    <row r="7" spans="1:17">
      <c r="A7" s="31" t="s">
        <v>3736</v>
      </c>
      <c r="C7" s="31" t="s">
        <v>3737</v>
      </c>
      <c r="D7" s="874"/>
      <c r="E7" s="1213"/>
      <c r="F7" s="1213"/>
      <c r="G7" s="219"/>
    </row>
    <row r="8" spans="1:17">
      <c r="C8" s="31" t="s">
        <v>3738</v>
      </c>
      <c r="D8" s="874"/>
      <c r="E8" s="1213"/>
      <c r="F8" s="1213"/>
      <c r="G8" s="219"/>
    </row>
    <row r="9" spans="1:17">
      <c r="C9" s="31" t="s">
        <v>3739</v>
      </c>
      <c r="D9" s="874"/>
      <c r="E9" s="1213"/>
      <c r="F9" s="1213"/>
      <c r="G9" s="219"/>
    </row>
    <row r="10" spans="1:17">
      <c r="C10" s="31" t="s">
        <v>3752</v>
      </c>
      <c r="D10" s="318">
        <f>D7+D8+D9</f>
        <v>0</v>
      </c>
      <c r="E10" s="1213"/>
      <c r="F10" s="1213"/>
      <c r="G10" s="219"/>
    </row>
    <row r="11" spans="1:17">
      <c r="F11" s="219"/>
      <c r="G11" s="219"/>
    </row>
    <row r="12" spans="1:17">
      <c r="A12" s="31" t="s">
        <v>2741</v>
      </c>
      <c r="D12" s="875"/>
      <c r="E12" s="31" t="s">
        <v>3231</v>
      </c>
      <c r="F12" s="219"/>
      <c r="G12" s="219"/>
    </row>
    <row r="13" spans="1:17">
      <c r="D13" s="273"/>
      <c r="F13" s="219"/>
      <c r="G13" s="219"/>
    </row>
    <row r="14" spans="1:17">
      <c r="A14" s="31" t="s">
        <v>3741</v>
      </c>
      <c r="D14" s="876"/>
      <c r="E14" s="31" t="s">
        <v>3742</v>
      </c>
      <c r="F14" s="319"/>
    </row>
    <row r="15" spans="1:17">
      <c r="D15" s="292"/>
      <c r="F15" s="319"/>
    </row>
    <row r="16" spans="1:17">
      <c r="A16" s="31" t="s">
        <v>3743</v>
      </c>
      <c r="D16" s="876"/>
      <c r="E16" s="31" t="s">
        <v>3742</v>
      </c>
      <c r="F16" s="319"/>
    </row>
    <row r="17" spans="1:10">
      <c r="D17" s="273"/>
      <c r="F17" s="319"/>
    </row>
    <row r="18" spans="1:10">
      <c r="A18" s="31" t="s">
        <v>1525</v>
      </c>
      <c r="D18" s="320" t="e">
        <f>PMT(D10/12,D16*12,-D5,0,0)*12</f>
        <v>#NUM!</v>
      </c>
      <c r="E18" s="31" t="s">
        <v>2245</v>
      </c>
      <c r="F18" s="319"/>
    </row>
    <row r="19" spans="1:10">
      <c r="D19" s="273"/>
      <c r="F19" s="319"/>
    </row>
    <row r="20" spans="1:10">
      <c r="A20" s="31" t="s">
        <v>2246</v>
      </c>
      <c r="D20" s="273" t="e">
        <f>D18/12</f>
        <v>#NUM!</v>
      </c>
      <c r="E20" s="31" t="s">
        <v>2245</v>
      </c>
      <c r="F20" s="319"/>
    </row>
    <row r="24" spans="1:10" ht="18" customHeight="1">
      <c r="A24" s="1202" t="s">
        <v>2742</v>
      </c>
      <c r="B24" s="1202"/>
      <c r="C24" s="1202"/>
      <c r="D24" s="1202"/>
      <c r="E24" s="1202"/>
      <c r="F24" s="1202"/>
      <c r="J24" s="321"/>
    </row>
    <row r="25" spans="1:10">
      <c r="C25" s="273"/>
      <c r="J25" s="321"/>
    </row>
    <row r="26" spans="1:10">
      <c r="A26" s="141"/>
      <c r="B26" s="111"/>
      <c r="C26" s="1214" t="s">
        <v>3385</v>
      </c>
      <c r="D26" s="316"/>
      <c r="E26" s="111"/>
      <c r="F26" s="1214" t="s">
        <v>3385</v>
      </c>
      <c r="J26" s="321"/>
    </row>
    <row r="27" spans="1:10">
      <c r="A27" s="322" t="s">
        <v>3754</v>
      </c>
      <c r="B27" s="736" t="s">
        <v>1646</v>
      </c>
      <c r="C27" s="1215"/>
      <c r="D27" s="323" t="s">
        <v>3754</v>
      </c>
      <c r="E27" s="736" t="s">
        <v>1646</v>
      </c>
      <c r="F27" s="1215"/>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1203" t="str">
        <f>CONCATENATE('Part I-Project Information'!$O$4," ",'Part I-Project Information'!$F$22,", ",'Part I-Project Information'!$F$24,", ",'Part I-Project Information'!$J$25," County")</f>
        <v>2011-012 Veteran Senior Housing - Assisted Living, Decatur, DeKalb County</v>
      </c>
      <c r="B50" s="1203"/>
      <c r="C50" s="1203"/>
      <c r="D50" s="1203"/>
      <c r="E50" s="1203"/>
      <c r="F50" s="1203"/>
      <c r="G50" s="300"/>
      <c r="H50" s="300"/>
    </row>
    <row r="51" spans="1:10" ht="15">
      <c r="A51" s="1200" t="s">
        <v>3744</v>
      </c>
      <c r="B51" s="1200"/>
      <c r="C51" s="1200"/>
      <c r="D51" s="1200"/>
      <c r="E51" s="1200"/>
      <c r="F51" s="1200"/>
      <c r="G51" s="333"/>
      <c r="H51" s="333"/>
      <c r="I51" s="333"/>
      <c r="J51" s="333"/>
    </row>
    <row r="52" spans="1:10" ht="5.45" customHeight="1">
      <c r="C52" s="273"/>
      <c r="D52" s="273"/>
      <c r="G52" s="278"/>
      <c r="H52" s="272"/>
      <c r="I52" s="278"/>
    </row>
    <row r="53" spans="1:10">
      <c r="A53" s="276" t="s">
        <v>3745</v>
      </c>
      <c r="B53" s="276" t="s">
        <v>3746</v>
      </c>
      <c r="C53" s="276" t="s">
        <v>1994</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00"/>
  <sheetViews>
    <sheetView showGridLines="0" topLeftCell="A118" zoomScaleNormal="100" zoomScaleSheetLayoutView="90" workbookViewId="0">
      <selection activeCell="A192"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c r="A1" s="1239" t="str">
        <f>CONCATENATE("PART FOUR -  USES OF FUNDS","  -  ",'Part I-Project Information'!$O$4," ",'Part I-Project Information'!$F$22,", ",'Part I-Project Information'!F24,", ",'Part I-Project Information'!J25," County")</f>
        <v>PART FOUR -  USES OF FUNDS  -  2011-012 Veteran Senior Housing - Assisted Living, Decatur, DeKalb County</v>
      </c>
      <c r="B1" s="1240"/>
      <c r="C1" s="1240"/>
      <c r="D1" s="1240"/>
      <c r="E1" s="1240"/>
      <c r="F1" s="1240"/>
      <c r="G1" s="1240"/>
      <c r="H1" s="1240"/>
      <c r="I1" s="1240"/>
      <c r="J1" s="1240"/>
      <c r="K1" s="1240"/>
      <c r="L1" s="1240"/>
      <c r="M1" s="1240"/>
      <c r="N1" s="1240"/>
      <c r="O1" s="1240"/>
      <c r="P1" s="1240"/>
      <c r="Q1" s="1240"/>
      <c r="R1" s="1240"/>
      <c r="S1" s="1240"/>
      <c r="T1" s="1240"/>
    </row>
    <row r="3" spans="1:21" s="458" customFormat="1">
      <c r="A3" s="1232" t="s">
        <v>358</v>
      </c>
      <c r="B3" s="1232"/>
      <c r="C3" s="1232"/>
      <c r="D3" s="1232"/>
      <c r="E3" s="1232"/>
      <c r="F3" s="1232"/>
      <c r="G3" s="1232"/>
      <c r="H3" s="1232"/>
      <c r="I3" s="1232"/>
      <c r="J3" s="1232"/>
      <c r="K3" s="1232"/>
      <c r="L3" s="1232"/>
      <c r="M3" s="1232"/>
      <c r="N3" s="1232"/>
      <c r="O3" s="1232"/>
      <c r="P3" s="1232"/>
      <c r="Q3" s="1232"/>
      <c r="R3" s="1232"/>
      <c r="S3" s="1232"/>
      <c r="T3" s="1232"/>
    </row>
    <row r="4" spans="1:21" s="458" customFormat="1" ht="13.5" thickBot="1">
      <c r="A4" s="733"/>
      <c r="B4" s="733"/>
      <c r="C4" s="733"/>
      <c r="D4" s="733"/>
      <c r="E4" s="733"/>
      <c r="F4" s="733"/>
      <c r="G4" s="733"/>
      <c r="H4" s="733"/>
      <c r="I4" s="733"/>
      <c r="J4" s="733"/>
      <c r="K4" s="733"/>
      <c r="L4" s="733"/>
      <c r="M4" s="733"/>
      <c r="N4" s="733"/>
      <c r="O4" s="733"/>
      <c r="P4" s="733"/>
      <c r="Q4" s="733"/>
      <c r="R4" s="733"/>
      <c r="S4" s="733"/>
      <c r="T4" s="733"/>
    </row>
    <row r="5" spans="1:21" s="458" customFormat="1" ht="13.5" thickBot="1">
      <c r="A5" s="491" t="s">
        <v>950</v>
      </c>
      <c r="B5" s="461" t="s">
        <v>1494</v>
      </c>
      <c r="H5" s="721"/>
      <c r="I5" s="721"/>
      <c r="J5" s="1223" t="s">
        <v>359</v>
      </c>
      <c r="K5" s="1224"/>
      <c r="L5" s="522"/>
      <c r="M5" s="1233" t="s">
        <v>720</v>
      </c>
      <c r="N5" s="1234"/>
      <c r="P5" s="1223" t="s">
        <v>360</v>
      </c>
      <c r="Q5" s="1224"/>
      <c r="S5" s="1223" t="s">
        <v>361</v>
      </c>
      <c r="T5" s="1224"/>
    </row>
    <row r="6" spans="1:21" s="458" customFormat="1" ht="22.5" customHeight="1" thickBot="1">
      <c r="G6" s="1227" t="s">
        <v>115</v>
      </c>
      <c r="H6" s="1228"/>
      <c r="J6" s="1225"/>
      <c r="K6" s="1226"/>
      <c r="L6" s="522"/>
      <c r="M6" s="1235"/>
      <c r="N6" s="1236"/>
      <c r="P6" s="1225"/>
      <c r="Q6" s="1226"/>
      <c r="S6" s="1225"/>
      <c r="T6" s="1226"/>
    </row>
    <row r="7" spans="1:21" s="458" customFormat="1">
      <c r="B7" s="461" t="s">
        <v>116</v>
      </c>
      <c r="O7" s="733" t="str">
        <f>B7</f>
        <v>PRE-DEVELOPMENT COSTS</v>
      </c>
    </row>
    <row r="8" spans="1:21" s="458" customFormat="1">
      <c r="B8" s="458" t="s">
        <v>3079</v>
      </c>
      <c r="G8" s="1127">
        <v>7500</v>
      </c>
      <c r="H8" s="1128"/>
      <c r="J8" s="1127">
        <v>7500</v>
      </c>
      <c r="K8" s="1128"/>
      <c r="L8" s="732"/>
      <c r="M8" s="1127"/>
      <c r="N8" s="1128"/>
      <c r="P8" s="1127"/>
      <c r="Q8" s="1128"/>
      <c r="S8" s="1127"/>
      <c r="T8" s="1128"/>
    </row>
    <row r="9" spans="1:21" s="458" customFormat="1">
      <c r="B9" s="458" t="s">
        <v>671</v>
      </c>
      <c r="G9" s="1127">
        <v>7500</v>
      </c>
      <c r="H9" s="1128"/>
      <c r="J9" s="1127">
        <v>7500</v>
      </c>
      <c r="K9" s="1128"/>
      <c r="L9" s="732"/>
      <c r="M9" s="1127"/>
      <c r="N9" s="1128"/>
      <c r="P9" s="1127"/>
      <c r="Q9" s="1128"/>
      <c r="S9" s="1127"/>
      <c r="T9" s="1128"/>
    </row>
    <row r="10" spans="1:21" s="458" customFormat="1">
      <c r="B10" s="458" t="s">
        <v>717</v>
      </c>
      <c r="G10" s="1127">
        <v>20000</v>
      </c>
      <c r="H10" s="1128"/>
      <c r="J10" s="1127">
        <v>20000</v>
      </c>
      <c r="K10" s="1128"/>
      <c r="L10" s="732"/>
      <c r="M10" s="1127"/>
      <c r="N10" s="1128"/>
      <c r="P10" s="1127"/>
      <c r="Q10" s="1128"/>
      <c r="S10" s="1127"/>
      <c r="T10" s="1128"/>
    </row>
    <row r="11" spans="1:21" s="458" customFormat="1">
      <c r="B11" s="458" t="s">
        <v>718</v>
      </c>
      <c r="G11" s="1127">
        <v>10000</v>
      </c>
      <c r="H11" s="1128"/>
      <c r="J11" s="1127">
        <v>10000</v>
      </c>
      <c r="K11" s="1128"/>
      <c r="L11" s="732"/>
      <c r="M11" s="1127"/>
      <c r="N11" s="1128"/>
      <c r="P11" s="1127"/>
      <c r="Q11" s="1128"/>
      <c r="S11" s="1127"/>
      <c r="T11" s="1128"/>
    </row>
    <row r="12" spans="1:21" s="458" customFormat="1">
      <c r="B12" s="458" t="s">
        <v>3780</v>
      </c>
      <c r="G12" s="1127">
        <v>15000</v>
      </c>
      <c r="H12" s="1128"/>
      <c r="J12" s="1127">
        <v>15000</v>
      </c>
      <c r="K12" s="1128"/>
      <c r="L12" s="732"/>
      <c r="M12" s="1127"/>
      <c r="N12" s="1128"/>
      <c r="P12" s="1127"/>
      <c r="Q12" s="1128"/>
      <c r="S12" s="1127"/>
      <c r="T12" s="1128"/>
    </row>
    <row r="13" spans="1:21" s="458" customFormat="1">
      <c r="B13" s="458" t="s">
        <v>248</v>
      </c>
      <c r="G13" s="1127">
        <v>20000</v>
      </c>
      <c r="H13" s="1128"/>
      <c r="J13" s="1127">
        <v>20000</v>
      </c>
      <c r="K13" s="1128"/>
      <c r="L13" s="732"/>
      <c r="M13" s="1127"/>
      <c r="N13" s="1128"/>
      <c r="P13" s="1127"/>
      <c r="Q13" s="1128"/>
      <c r="S13" s="1127"/>
      <c r="T13" s="1128"/>
    </row>
    <row r="14" spans="1:21" s="458" customFormat="1" ht="15.75">
      <c r="A14" s="562" t="str">
        <f>IF(AND(G14&gt;0,OR(C14="",C14="&lt;Enter detailed description here; use Comments section if needed&gt;")),"X","")</f>
        <v/>
      </c>
      <c r="B14" s="458" t="s">
        <v>1230</v>
      </c>
      <c r="C14" s="997" t="s">
        <v>3660</v>
      </c>
      <c r="D14" s="997"/>
      <c r="E14" s="997"/>
      <c r="F14" s="998"/>
      <c r="G14" s="1127"/>
      <c r="H14" s="1128"/>
      <c r="J14" s="1127"/>
      <c r="K14" s="1128"/>
      <c r="L14" s="732"/>
      <c r="M14" s="1127"/>
      <c r="N14" s="1128"/>
      <c r="P14" s="1127"/>
      <c r="Q14" s="1128"/>
      <c r="S14" s="1127"/>
      <c r="T14" s="1128"/>
      <c r="U14" s="561" t="str">
        <f>IF(AND(G14&gt;0,OR(C14="",C14="&lt;Enter detailed description here; use Comments section if needed&gt;")),"NO DESCRIPTION PROVIDED - please enter detailed description in Other box at left; use Comments section below if needed.","")</f>
        <v/>
      </c>
    </row>
    <row r="15" spans="1:21" s="458" customFormat="1" ht="15.75">
      <c r="A15" s="562" t="str">
        <f>IF(AND(G15&gt;0,OR(C15="",C15="&lt;Enter detailed description here; use Comments section if needed&gt;")),"X","")</f>
        <v/>
      </c>
      <c r="B15" s="458" t="s">
        <v>1230</v>
      </c>
      <c r="C15" s="997" t="s">
        <v>3660</v>
      </c>
      <c r="D15" s="997"/>
      <c r="E15" s="997"/>
      <c r="F15" s="998"/>
      <c r="G15" s="1127"/>
      <c r="H15" s="1128"/>
      <c r="J15" s="1127"/>
      <c r="K15" s="1128"/>
      <c r="L15" s="732"/>
      <c r="M15" s="1127"/>
      <c r="N15" s="1128"/>
      <c r="P15" s="1127"/>
      <c r="Q15" s="1128"/>
      <c r="S15" s="1127"/>
      <c r="T15" s="1128"/>
      <c r="U15" s="561" t="str">
        <f>IF(AND(G15&gt;0,OR(C15="",C15="&lt;Enter detailed description here; use Comments section if needed&gt;")),"NO DESCRIPTION PROVIDED - please enter detailed description in Other box at left; use Comments section below if needed.","")</f>
        <v/>
      </c>
    </row>
    <row r="16" spans="1:21" s="458" customFormat="1" ht="16.5" thickBot="1">
      <c r="A16" s="562" t="str">
        <f>IF(AND(G16&gt;0,OR(C16="",C16="&lt;Enter detailed description here; use Comments section if needed&gt;")),"X","")</f>
        <v/>
      </c>
      <c r="B16" s="458" t="s">
        <v>1230</v>
      </c>
      <c r="C16" s="997" t="s">
        <v>3660</v>
      </c>
      <c r="D16" s="997"/>
      <c r="E16" s="997"/>
      <c r="F16" s="998"/>
      <c r="G16" s="1219"/>
      <c r="H16" s="1220"/>
      <c r="J16" s="1237"/>
      <c r="K16" s="1238"/>
      <c r="L16" s="732"/>
      <c r="M16" s="1127"/>
      <c r="N16" s="1128"/>
      <c r="P16" s="1127"/>
      <c r="Q16" s="1128"/>
      <c r="S16" s="1237"/>
      <c r="T16" s="1238"/>
      <c r="U16" s="561" t="str">
        <f>IF(AND(G16&gt;0,OR(C16="",C16="&lt;Enter detailed description here; use Comments section if needed&gt;")),"NO DESCRIPTION PROVIDED - please enter detailed description in Other box at left; use Comments section below if needed.","")</f>
        <v/>
      </c>
    </row>
    <row r="17" spans="2:20" s="458" customFormat="1" ht="13.5" thickTop="1">
      <c r="F17" s="523" t="s">
        <v>249</v>
      </c>
      <c r="G17" s="1221">
        <f>SUM(G8:H16)</f>
        <v>80000</v>
      </c>
      <c r="H17" s="1222"/>
      <c r="J17" s="1221">
        <f>SUM(J8:K16)</f>
        <v>80000</v>
      </c>
      <c r="K17" s="1247"/>
      <c r="L17" s="732"/>
      <c r="M17" s="1221">
        <f>SUM(M8:N16)</f>
        <v>0</v>
      </c>
      <c r="N17" s="1222"/>
      <c r="P17" s="1221">
        <f>SUM(P8:Q16)</f>
        <v>0</v>
      </c>
      <c r="Q17" s="1222"/>
      <c r="S17" s="1221">
        <f>SUM(S8:T16)</f>
        <v>0</v>
      </c>
      <c r="T17" s="1222"/>
    </row>
    <row r="18" spans="2:20" s="458" customFormat="1">
      <c r="B18" s="461" t="s">
        <v>3306</v>
      </c>
      <c r="J18" s="522"/>
      <c r="K18" s="522"/>
      <c r="M18" s="522"/>
      <c r="N18" s="522"/>
      <c r="O18" s="524" t="str">
        <f>B18</f>
        <v>ACQUISITION</v>
      </c>
      <c r="P18" s="522"/>
      <c r="Q18" s="522"/>
      <c r="S18" s="522"/>
      <c r="T18" s="522"/>
    </row>
    <row r="19" spans="2:20" s="458" customFormat="1">
      <c r="B19" s="458" t="s">
        <v>3307</v>
      </c>
      <c r="G19" s="1127">
        <v>450000</v>
      </c>
      <c r="H19" s="1128"/>
      <c r="J19" s="525"/>
      <c r="K19" s="522"/>
      <c r="L19" s="525"/>
      <c r="M19" s="525"/>
      <c r="N19" s="522"/>
      <c r="P19" s="525"/>
      <c r="Q19" s="522"/>
      <c r="S19" s="1127">
        <v>450000</v>
      </c>
      <c r="T19" s="1128"/>
    </row>
    <row r="20" spans="2:20" s="458" customFormat="1">
      <c r="B20" s="458" t="s">
        <v>1750</v>
      </c>
      <c r="G20" s="1127"/>
      <c r="H20" s="1128"/>
      <c r="J20" s="525"/>
      <c r="K20" s="522"/>
      <c r="L20" s="525"/>
      <c r="M20" s="525"/>
      <c r="N20" s="522"/>
      <c r="P20" s="525"/>
      <c r="Q20" s="522"/>
      <c r="S20" s="1127"/>
      <c r="T20" s="1128"/>
    </row>
    <row r="21" spans="2:20" s="458" customFormat="1">
      <c r="B21" s="458" t="s">
        <v>672</v>
      </c>
      <c r="G21" s="1127"/>
      <c r="H21" s="1128"/>
      <c r="J21" s="525"/>
      <c r="K21" s="522"/>
      <c r="L21" s="525"/>
      <c r="M21" s="1127"/>
      <c r="N21" s="1128"/>
      <c r="P21" s="525"/>
      <c r="Q21" s="522"/>
      <c r="S21" s="1127"/>
      <c r="T21" s="1128"/>
    </row>
    <row r="22" spans="2:20" s="458" customFormat="1" ht="13.5" thickBot="1">
      <c r="B22" s="458" t="s">
        <v>637</v>
      </c>
      <c r="G22" s="1219"/>
      <c r="H22" s="1220"/>
      <c r="J22" s="525"/>
      <c r="K22" s="522"/>
      <c r="L22" s="525"/>
      <c r="M22" s="1219"/>
      <c r="N22" s="1220"/>
      <c r="P22" s="525"/>
      <c r="Q22" s="522"/>
      <c r="S22" s="1127"/>
      <c r="T22" s="1128"/>
    </row>
    <row r="23" spans="2:20" s="458" customFormat="1" ht="13.5" thickTop="1">
      <c r="F23" s="523" t="s">
        <v>249</v>
      </c>
      <c r="G23" s="1221">
        <f>SUM(G19:H22)</f>
        <v>450000</v>
      </c>
      <c r="H23" s="1222"/>
      <c r="J23" s="525"/>
      <c r="K23" s="522"/>
      <c r="L23" s="525"/>
      <c r="M23" s="1221">
        <f>SUM(M21:N22)</f>
        <v>0</v>
      </c>
      <c r="N23" s="1222"/>
      <c r="P23" s="525"/>
      <c r="Q23" s="522"/>
      <c r="S23" s="1221">
        <f>SUM(S19:T22)</f>
        <v>450000</v>
      </c>
      <c r="T23" s="1222"/>
    </row>
    <row r="24" spans="2:20" s="458" customFormat="1">
      <c r="B24" s="461" t="s">
        <v>1751</v>
      </c>
      <c r="J24" s="525"/>
      <c r="K24" s="522"/>
      <c r="M24" s="525"/>
      <c r="N24" s="522"/>
      <c r="O24" s="524" t="str">
        <f>B24</f>
        <v>LAND IMPROVEMENTS</v>
      </c>
      <c r="P24" s="525"/>
      <c r="Q24" s="522"/>
      <c r="S24" s="525"/>
      <c r="T24" s="522"/>
    </row>
    <row r="25" spans="2:20" s="458" customFormat="1">
      <c r="B25" s="458" t="s">
        <v>1752</v>
      </c>
      <c r="G25" s="1127">
        <v>532480</v>
      </c>
      <c r="H25" s="1128"/>
      <c r="J25" s="1127">
        <v>432480</v>
      </c>
      <c r="K25" s="1128"/>
      <c r="L25" s="732"/>
      <c r="M25" s="1237"/>
      <c r="N25" s="1238"/>
      <c r="P25" s="1237"/>
      <c r="Q25" s="1238"/>
      <c r="S25" s="1127">
        <v>100000</v>
      </c>
      <c r="T25" s="1128"/>
    </row>
    <row r="26" spans="2:20" s="458" customFormat="1" ht="13.5" thickBot="1">
      <c r="B26" s="458" t="s">
        <v>1753</v>
      </c>
      <c r="G26" s="1127"/>
      <c r="H26" s="1128"/>
      <c r="J26" s="1237"/>
      <c r="K26" s="1238"/>
      <c r="L26" s="526"/>
      <c r="M26" s="1241"/>
      <c r="N26" s="1241"/>
      <c r="P26" s="1241"/>
      <c r="Q26" s="1241"/>
      <c r="S26" s="1127"/>
      <c r="T26" s="1128"/>
    </row>
    <row r="27" spans="2:20" s="458" customFormat="1" ht="13.5" thickTop="1">
      <c r="F27" s="523" t="s">
        <v>249</v>
      </c>
      <c r="G27" s="1221">
        <f>SUM(G25:H26)</f>
        <v>532480</v>
      </c>
      <c r="H27" s="1222"/>
      <c r="J27" s="1221">
        <f>SUM(J25:K26)</f>
        <v>432480</v>
      </c>
      <c r="K27" s="1222"/>
      <c r="L27" s="525"/>
      <c r="M27" s="1221">
        <f>M25</f>
        <v>0</v>
      </c>
      <c r="N27" s="1222"/>
      <c r="P27" s="1221">
        <f>P25</f>
        <v>0</v>
      </c>
      <c r="Q27" s="1222"/>
      <c r="S27" s="1221">
        <f>SUM(S25:T26)</f>
        <v>100000</v>
      </c>
      <c r="T27" s="1222"/>
    </row>
    <row r="28" spans="2:20" s="458" customFormat="1">
      <c r="B28" s="461" t="s">
        <v>1754</v>
      </c>
      <c r="J28" s="525"/>
      <c r="K28" s="522"/>
      <c r="M28" s="525"/>
      <c r="N28" s="522"/>
      <c r="O28" s="524" t="str">
        <f>B28</f>
        <v>STRUCTURES</v>
      </c>
      <c r="P28" s="525"/>
      <c r="Q28" s="522"/>
      <c r="S28" s="525"/>
      <c r="T28" s="522"/>
    </row>
    <row r="29" spans="2:20" s="458" customFormat="1">
      <c r="B29" s="458" t="s">
        <v>1755</v>
      </c>
      <c r="G29" s="1127">
        <f>3374845-9</f>
        <v>3374836</v>
      </c>
      <c r="H29" s="1128"/>
      <c r="J29" s="1127">
        <v>3174836</v>
      </c>
      <c r="K29" s="1128"/>
      <c r="L29" s="732"/>
      <c r="M29" s="1127"/>
      <c r="N29" s="1128"/>
      <c r="P29" s="1127"/>
      <c r="Q29" s="1128"/>
      <c r="S29" s="1127">
        <v>200000</v>
      </c>
      <c r="T29" s="1128"/>
    </row>
    <row r="30" spans="2:20" s="458" customFormat="1">
      <c r="B30" s="458" t="s">
        <v>1756</v>
      </c>
      <c r="G30" s="1127"/>
      <c r="H30" s="1128"/>
      <c r="J30" s="1127"/>
      <c r="K30" s="1128"/>
      <c r="L30" s="732"/>
      <c r="M30" s="1127"/>
      <c r="N30" s="1128"/>
      <c r="P30" s="1127"/>
      <c r="Q30" s="1128"/>
      <c r="S30" s="1127"/>
      <c r="T30" s="1128"/>
    </row>
    <row r="31" spans="2:20" ht="13.5" thickBot="1">
      <c r="B31" s="458" t="s">
        <v>1757</v>
      </c>
      <c r="G31" s="1127"/>
      <c r="H31" s="1128"/>
      <c r="I31" s="458"/>
      <c r="J31" s="1127"/>
      <c r="K31" s="1128"/>
      <c r="L31" s="732"/>
      <c r="M31" s="1127"/>
      <c r="N31" s="1128"/>
      <c r="O31" s="458"/>
      <c r="P31" s="1127"/>
      <c r="Q31" s="1128"/>
      <c r="R31" s="458"/>
      <c r="S31" s="1127"/>
      <c r="T31" s="1128"/>
    </row>
    <row r="32" spans="2:20" s="458" customFormat="1" ht="13.5" thickTop="1">
      <c r="C32" s="1242"/>
      <c r="D32" s="1242"/>
      <c r="E32" s="734"/>
      <c r="F32" s="523" t="s">
        <v>249</v>
      </c>
      <c r="G32" s="1221">
        <f>SUM(G29:H31)</f>
        <v>3374836</v>
      </c>
      <c r="H32" s="1222"/>
      <c r="J32" s="1221">
        <f>SUM(J29:K31)</f>
        <v>3174836</v>
      </c>
      <c r="K32" s="1222"/>
      <c r="L32" s="732"/>
      <c r="M32" s="1221">
        <f>SUM(M29:N31)</f>
        <v>0</v>
      </c>
      <c r="N32" s="1222"/>
      <c r="P32" s="1221">
        <f>SUM(P29:Q31)</f>
        <v>0</v>
      </c>
      <c r="Q32" s="1222"/>
      <c r="S32" s="1221">
        <f>SUM(S29:T31)</f>
        <v>200000</v>
      </c>
      <c r="T32" s="1222"/>
    </row>
    <row r="33" spans="1:20" s="458" customFormat="1">
      <c r="B33" s="461" t="s">
        <v>3493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c r="B34" s="458" t="s">
        <v>3494</v>
      </c>
      <c r="E34" s="527">
        <f>'DCA Underwriting Assumptions'!$R$38</f>
        <v>0.06</v>
      </c>
      <c r="F34" s="620">
        <f>E34*($G$27+$G$32)</f>
        <v>234438.96</v>
      </c>
      <c r="G34" s="1127">
        <v>234438.96</v>
      </c>
      <c r="H34" s="1128"/>
      <c r="I34" s="482"/>
      <c r="J34" s="1127">
        <v>234438.96</v>
      </c>
      <c r="K34" s="1128"/>
      <c r="L34" s="732"/>
      <c r="M34" s="1127"/>
      <c r="N34" s="1128"/>
      <c r="P34" s="1127"/>
      <c r="Q34" s="1128"/>
      <c r="S34" s="1127"/>
      <c r="T34" s="1128"/>
    </row>
    <row r="35" spans="1:20" s="458" customFormat="1" ht="13.5" thickBot="1">
      <c r="B35" s="458" t="s">
        <v>3130</v>
      </c>
      <c r="E35" s="619">
        <f>'DCA Underwriting Assumptions'!$R$39+'DCA Underwriting Assumptions'!$R$40</f>
        <v>0.08</v>
      </c>
      <c r="F35" s="620">
        <f>E35*($G$27+$G$32)</f>
        <v>312585.28000000003</v>
      </c>
      <c r="G35" s="1219">
        <v>312585.28000000003</v>
      </c>
      <c r="H35" s="1220"/>
      <c r="I35" s="482"/>
      <c r="J35" s="1219">
        <v>312585.28000000003</v>
      </c>
      <c r="K35" s="1220"/>
      <c r="L35" s="732"/>
      <c r="M35" s="1127"/>
      <c r="N35" s="1128"/>
      <c r="P35" s="1127"/>
      <c r="Q35" s="1128"/>
      <c r="S35" s="1127"/>
      <c r="T35" s="1128"/>
    </row>
    <row r="36" spans="1:20" s="458" customFormat="1" ht="13.5" thickTop="1">
      <c r="B36" s="458" t="s">
        <v>3131</v>
      </c>
      <c r="D36" s="530"/>
      <c r="E36" s="721"/>
      <c r="F36" s="621" t="s">
        <v>249</v>
      </c>
      <c r="G36" s="1221">
        <f>SUM(G34:H35)</f>
        <v>547024.24</v>
      </c>
      <c r="H36" s="1222"/>
      <c r="J36" s="1221">
        <f>SUM(J34:K35)</f>
        <v>547024.24</v>
      </c>
      <c r="K36" s="1222"/>
      <c r="L36" s="525"/>
      <c r="M36" s="1221">
        <f>SUM(M34:N35)</f>
        <v>0</v>
      </c>
      <c r="N36" s="1222"/>
      <c r="P36" s="1221">
        <f>SUM(P34:Q35)</f>
        <v>0</v>
      </c>
      <c r="Q36" s="1222"/>
      <c r="S36" s="1221">
        <f>SUM(S34:T35)</f>
        <v>0</v>
      </c>
      <c r="T36" s="1222"/>
    </row>
    <row r="37" spans="1:20" s="458" customForma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c r="B38" s="531" t="s">
        <v>1760</v>
      </c>
      <c r="C38" s="532"/>
      <c r="D38" s="533">
        <f>B39/'Part VI-Revenues &amp; Expenses'!$M$63</f>
        <v>74239.004000000001</v>
      </c>
      <c r="E38" s="533"/>
      <c r="F38" s="534" t="s">
        <v>2110</v>
      </c>
    </row>
    <row r="39" spans="1:20" s="458" customFormat="1">
      <c r="B39" s="1243">
        <f>G27+G32+G36</f>
        <v>4454340.24</v>
      </c>
      <c r="C39" s="1244"/>
      <c r="D39" s="535">
        <f>B39/'Part VI-Revenues &amp; Expenses'!$M$98</f>
        <v>114.21385230769231</v>
      </c>
      <c r="E39" s="535"/>
      <c r="F39" s="536" t="s">
        <v>1337</v>
      </c>
      <c r="J39" s="522"/>
      <c r="K39" s="522"/>
      <c r="L39" s="537"/>
      <c r="M39" s="522"/>
      <c r="N39" s="732"/>
      <c r="P39" s="522"/>
      <c r="Q39" s="732"/>
      <c r="S39" s="522"/>
      <c r="T39" s="732"/>
    </row>
    <row r="40" spans="1:20" s="458" customForma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c r="B41" s="461" t="s">
        <v>1758</v>
      </c>
      <c r="J41" s="525"/>
      <c r="K41" s="522"/>
      <c r="M41" s="525"/>
      <c r="N41" s="522"/>
      <c r="O41" s="524" t="str">
        <f>B41</f>
        <v>CONSTRUCTION CONTINGENCY</v>
      </c>
      <c r="P41" s="525"/>
      <c r="Q41" s="522"/>
      <c r="S41" s="525"/>
      <c r="T41" s="522"/>
    </row>
    <row r="42" spans="1:20">
      <c r="B42" s="458" t="s">
        <v>3038</v>
      </c>
      <c r="F42" s="646">
        <f>G42/$B$39</f>
        <v>0.05</v>
      </c>
      <c r="G42" s="1127">
        <f>B39*5%</f>
        <v>222717.01200000002</v>
      </c>
      <c r="H42" s="1128"/>
      <c r="I42" s="458"/>
      <c r="J42" s="1127">
        <f>G42</f>
        <v>222717.01200000002</v>
      </c>
      <c r="K42" s="1128"/>
      <c r="L42" s="732"/>
      <c r="M42" s="1127"/>
      <c r="N42" s="1128"/>
      <c r="O42" s="458"/>
      <c r="P42" s="1127"/>
      <c r="Q42" s="1128"/>
      <c r="R42" s="458"/>
      <c r="S42" s="1127"/>
      <c r="T42" s="1128"/>
    </row>
    <row r="43" spans="1:20" s="458" customForma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13.5"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13.5" thickBot="1">
      <c r="A45" s="491" t="s">
        <v>950</v>
      </c>
      <c r="B45" s="461" t="s">
        <v>1494</v>
      </c>
      <c r="H45" s="721"/>
      <c r="I45" s="721"/>
      <c r="J45" s="1223" t="s">
        <v>359</v>
      </c>
      <c r="K45" s="1224"/>
      <c r="L45" s="522"/>
      <c r="M45" s="1233" t="s">
        <v>720</v>
      </c>
      <c r="N45" s="1234"/>
      <c r="P45" s="1223" t="s">
        <v>360</v>
      </c>
      <c r="Q45" s="1224"/>
      <c r="S45" s="1223" t="s">
        <v>361</v>
      </c>
      <c r="T45" s="1224"/>
    </row>
    <row r="46" spans="1:20" s="458" customFormat="1" ht="13.5" thickBot="1">
      <c r="G46" s="1227" t="s">
        <v>115</v>
      </c>
      <c r="H46" s="1228"/>
      <c r="J46" s="1225"/>
      <c r="K46" s="1226"/>
      <c r="L46" s="522"/>
      <c r="M46" s="1235"/>
      <c r="N46" s="1236"/>
      <c r="P46" s="1225"/>
      <c r="Q46" s="1226"/>
      <c r="S46" s="1225"/>
      <c r="T46" s="1226"/>
    </row>
    <row r="47" spans="1:20" s="458" customFormat="1">
      <c r="B47" s="461" t="s">
        <v>1091</v>
      </c>
      <c r="J47" s="525"/>
      <c r="K47" s="522"/>
      <c r="M47" s="525"/>
      <c r="N47" s="522"/>
      <c r="O47" s="524" t="str">
        <f>B47</f>
        <v>CONSTRUCTION PERIOD FINANCING</v>
      </c>
      <c r="P47" s="525"/>
      <c r="Q47" s="522"/>
      <c r="S47" s="525"/>
      <c r="T47" s="522"/>
    </row>
    <row r="48" spans="1:20" s="458" customFormat="1">
      <c r="B48" s="458" t="s">
        <v>3496</v>
      </c>
      <c r="G48" s="1127"/>
      <c r="H48" s="1128"/>
      <c r="J48" s="1127"/>
      <c r="K48" s="1128"/>
      <c r="L48" s="732"/>
      <c r="M48" s="1127"/>
      <c r="N48" s="1128"/>
      <c r="P48" s="1127"/>
      <c r="Q48" s="1128"/>
      <c r="S48" s="1127"/>
      <c r="T48" s="1128"/>
    </row>
    <row r="49" spans="1:21" s="458" customFormat="1">
      <c r="B49" s="458" t="s">
        <v>3497</v>
      </c>
      <c r="G49" s="1127"/>
      <c r="H49" s="1128"/>
      <c r="J49" s="1127"/>
      <c r="K49" s="1128"/>
      <c r="L49" s="732"/>
      <c r="M49" s="1127"/>
      <c r="N49" s="1128"/>
      <c r="P49" s="1127"/>
      <c r="Q49" s="1128"/>
      <c r="S49" s="1127"/>
      <c r="T49" s="1128"/>
    </row>
    <row r="50" spans="1:21" s="458" customFormat="1">
      <c r="B50" s="458" t="s">
        <v>3498</v>
      </c>
      <c r="G50" s="1127"/>
      <c r="H50" s="1128"/>
      <c r="J50" s="1127"/>
      <c r="K50" s="1128"/>
      <c r="L50" s="732"/>
      <c r="M50" s="1127"/>
      <c r="N50" s="1128"/>
      <c r="P50" s="1127"/>
      <c r="Q50" s="1128"/>
      <c r="S50" s="1127"/>
      <c r="T50" s="1128"/>
    </row>
    <row r="51" spans="1:21" s="458" customFormat="1">
      <c r="B51" s="458" t="s">
        <v>1092</v>
      </c>
      <c r="G51" s="1127">
        <v>12000</v>
      </c>
      <c r="H51" s="1128"/>
      <c r="J51" s="1127">
        <v>12000</v>
      </c>
      <c r="K51" s="1128"/>
      <c r="L51" s="732"/>
      <c r="M51" s="1127"/>
      <c r="N51" s="1128"/>
      <c r="P51" s="1127"/>
      <c r="Q51" s="1128"/>
      <c r="S51" s="1127"/>
      <c r="T51" s="1128"/>
    </row>
    <row r="52" spans="1:21" s="458" customFormat="1">
      <c r="B52" s="458" t="s">
        <v>3499</v>
      </c>
      <c r="G52" s="1127">
        <v>15438.09</v>
      </c>
      <c r="H52" s="1128"/>
      <c r="J52" s="1127">
        <v>15438.09</v>
      </c>
      <c r="K52" s="1128"/>
      <c r="L52" s="732"/>
      <c r="M52" s="1127"/>
      <c r="N52" s="1128"/>
      <c r="P52" s="1127"/>
      <c r="Q52" s="1128"/>
      <c r="S52" s="1127"/>
      <c r="T52" s="1128"/>
    </row>
    <row r="53" spans="1:21" s="458" customFormat="1">
      <c r="B53" s="458" t="s">
        <v>371</v>
      </c>
      <c r="G53" s="1127"/>
      <c r="H53" s="1128"/>
      <c r="J53" s="1127"/>
      <c r="K53" s="1128"/>
      <c r="L53" s="732"/>
      <c r="M53" s="1127"/>
      <c r="N53" s="1128"/>
      <c r="P53" s="1127"/>
      <c r="Q53" s="1128"/>
      <c r="S53" s="1127"/>
      <c r="T53" s="1128"/>
    </row>
    <row r="54" spans="1:21" s="458" customFormat="1">
      <c r="B54" s="529" t="s">
        <v>1795</v>
      </c>
      <c r="D54" s="527"/>
      <c r="E54" s="527"/>
      <c r="F54" s="528"/>
      <c r="G54" s="1127">
        <v>60750</v>
      </c>
      <c r="H54" s="1128"/>
      <c r="I54" s="482"/>
      <c r="J54" s="1127">
        <v>60750</v>
      </c>
      <c r="K54" s="1128"/>
      <c r="L54" s="732"/>
      <c r="M54" s="1127"/>
      <c r="N54" s="1128"/>
      <c r="P54" s="1127"/>
      <c r="Q54" s="1128"/>
      <c r="S54" s="1127"/>
      <c r="T54" s="1128"/>
    </row>
    <row r="55" spans="1:21" s="458" customFormat="1" ht="16.5" thickBot="1">
      <c r="A55" s="562" t="str">
        <f>IF(AND(G55&gt;0,OR(C55="",C55="&lt;Enter detailed description here; use Comments section if needed&gt;")),"X","")</f>
        <v/>
      </c>
      <c r="B55" s="458" t="s">
        <v>1230</v>
      </c>
      <c r="C55" s="997" t="s">
        <v>3660</v>
      </c>
      <c r="D55" s="997"/>
      <c r="E55" s="997"/>
      <c r="F55" s="998"/>
      <c r="G55" s="1219"/>
      <c r="H55" s="1220"/>
      <c r="J55" s="1219"/>
      <c r="K55" s="1220"/>
      <c r="L55" s="732"/>
      <c r="M55" s="1219"/>
      <c r="N55" s="1220"/>
      <c r="P55" s="1219"/>
      <c r="Q55" s="1220"/>
      <c r="S55" s="1127"/>
      <c r="T55" s="1128"/>
      <c r="U55" s="561" t="str">
        <f>IF(AND(G55&gt;0,OR(C55="",C55="&lt;Enter detailed description here; use Comments section if needed&gt;")),"NO DESCRIPTION PROVIDED - please enter detailed description in Other box at left; use Comments section below if needed.","")</f>
        <v/>
      </c>
    </row>
    <row r="56" spans="1:21" s="458" customFormat="1" ht="13.5" thickTop="1">
      <c r="F56" s="523" t="s">
        <v>249</v>
      </c>
      <c r="G56" s="1221">
        <f>SUM(G48:H55)</f>
        <v>88188.09</v>
      </c>
      <c r="H56" s="1222"/>
      <c r="J56" s="1221">
        <f>SUM(J48:K55)</f>
        <v>88188.09</v>
      </c>
      <c r="K56" s="1222"/>
      <c r="L56" s="525"/>
      <c r="M56" s="1221">
        <f>SUM(M48:N55)</f>
        <v>0</v>
      </c>
      <c r="N56" s="1222"/>
      <c r="P56" s="1221">
        <f>SUM(P48:Q55)</f>
        <v>0</v>
      </c>
      <c r="Q56" s="1222"/>
      <c r="S56" s="1221">
        <f>SUM(S48:T55)</f>
        <v>0</v>
      </c>
      <c r="T56" s="1222"/>
    </row>
    <row r="57" spans="1:21" s="458" customFormat="1">
      <c r="B57" s="461" t="s">
        <v>704</v>
      </c>
      <c r="G57" s="522"/>
      <c r="H57" s="522"/>
      <c r="J57" s="522"/>
      <c r="K57" s="522"/>
      <c r="M57" s="522"/>
      <c r="N57" s="522"/>
      <c r="O57" s="524" t="str">
        <f>B57</f>
        <v>PROFESSIONAL SERVICES</v>
      </c>
      <c r="P57" s="522"/>
      <c r="Q57" s="522"/>
      <c r="S57" s="522"/>
      <c r="T57" s="522"/>
    </row>
    <row r="58" spans="1:21" s="458" customFormat="1">
      <c r="B58" s="458" t="s">
        <v>705</v>
      </c>
      <c r="G58" s="1127">
        <v>173491.98207075</v>
      </c>
      <c r="H58" s="1128"/>
      <c r="J58" s="1127">
        <v>173491.98207075</v>
      </c>
      <c r="K58" s="1128"/>
      <c r="L58" s="732"/>
      <c r="M58" s="1127"/>
      <c r="N58" s="1128"/>
      <c r="P58" s="1127"/>
      <c r="Q58" s="1128"/>
      <c r="S58" s="1127"/>
      <c r="T58" s="1128"/>
    </row>
    <row r="59" spans="1:21" s="458" customFormat="1">
      <c r="B59" s="458" t="s">
        <v>706</v>
      </c>
      <c r="G59" s="1127">
        <v>57830.660690249999</v>
      </c>
      <c r="H59" s="1128"/>
      <c r="J59" s="1127">
        <v>57830.660690249999</v>
      </c>
      <c r="K59" s="1128"/>
      <c r="L59" s="732"/>
      <c r="M59" s="1127"/>
      <c r="N59" s="1128"/>
      <c r="P59" s="1127"/>
      <c r="Q59" s="1128"/>
      <c r="S59" s="1127"/>
      <c r="T59" s="1128"/>
    </row>
    <row r="60" spans="1:21" s="458" customFormat="1">
      <c r="B60" s="458" t="s">
        <v>1761</v>
      </c>
      <c r="G60" s="1127">
        <v>20000</v>
      </c>
      <c r="H60" s="1128"/>
      <c r="J60" s="1127">
        <v>20000</v>
      </c>
      <c r="K60" s="1128"/>
      <c r="L60" s="732"/>
      <c r="M60" s="1127"/>
      <c r="N60" s="1128"/>
      <c r="P60" s="1127"/>
      <c r="Q60" s="1128"/>
      <c r="S60" s="1127"/>
      <c r="T60" s="1128"/>
    </row>
    <row r="61" spans="1:21" s="458" customFormat="1">
      <c r="B61" s="458" t="s">
        <v>1762</v>
      </c>
      <c r="G61" s="1127"/>
      <c r="H61" s="1128"/>
      <c r="J61" s="1127">
        <v>0</v>
      </c>
      <c r="K61" s="1128"/>
      <c r="L61" s="732"/>
      <c r="M61" s="1127"/>
      <c r="N61" s="1128"/>
      <c r="P61" s="1127"/>
      <c r="Q61" s="1128"/>
      <c r="S61" s="1127"/>
      <c r="T61" s="1128"/>
    </row>
    <row r="62" spans="1:21" s="458" customFormat="1">
      <c r="B62" s="458" t="s">
        <v>1763</v>
      </c>
      <c r="G62" s="1127">
        <v>21500</v>
      </c>
      <c r="H62" s="1128"/>
      <c r="J62" s="1127">
        <v>21500</v>
      </c>
      <c r="K62" s="1128"/>
      <c r="L62" s="732"/>
      <c r="M62" s="1127"/>
      <c r="N62" s="1128"/>
      <c r="P62" s="1127"/>
      <c r="Q62" s="1128"/>
      <c r="S62" s="1127"/>
      <c r="T62" s="1128"/>
    </row>
    <row r="63" spans="1:21" s="458" customFormat="1">
      <c r="B63" s="458" t="s">
        <v>1764</v>
      </c>
      <c r="G63" s="1127"/>
      <c r="H63" s="1128"/>
      <c r="J63" s="1127">
        <v>0</v>
      </c>
      <c r="K63" s="1128"/>
      <c r="L63" s="732"/>
      <c r="M63" s="1127"/>
      <c r="N63" s="1128"/>
      <c r="P63" s="1127"/>
      <c r="Q63" s="1128"/>
      <c r="S63" s="1127"/>
      <c r="T63" s="1128"/>
    </row>
    <row r="64" spans="1:21" s="458" customFormat="1">
      <c r="B64" s="458" t="s">
        <v>707</v>
      </c>
      <c r="G64" s="1127">
        <v>100000</v>
      </c>
      <c r="H64" s="1128"/>
      <c r="J64" s="1127">
        <v>100000</v>
      </c>
      <c r="K64" s="1128"/>
      <c r="L64" s="732"/>
      <c r="M64" s="1127"/>
      <c r="N64" s="1128"/>
      <c r="P64" s="1127"/>
      <c r="Q64" s="1128"/>
      <c r="S64" s="1127"/>
      <c r="T64" s="1128"/>
    </row>
    <row r="65" spans="1:21" s="458" customFormat="1">
      <c r="B65" s="458" t="s">
        <v>708</v>
      </c>
      <c r="G65" s="1127">
        <v>100000</v>
      </c>
      <c r="H65" s="1128"/>
      <c r="J65" s="1127">
        <v>50000</v>
      </c>
      <c r="K65" s="1128"/>
      <c r="L65" s="732"/>
      <c r="M65" s="1127"/>
      <c r="N65" s="1128"/>
      <c r="P65" s="1127"/>
      <c r="Q65" s="1128"/>
      <c r="S65" s="1127">
        <v>50000</v>
      </c>
      <c r="T65" s="1128"/>
    </row>
    <row r="66" spans="1:21" s="458" customFormat="1">
      <c r="B66" s="458" t="s">
        <v>3141</v>
      </c>
      <c r="G66" s="1127">
        <v>56000</v>
      </c>
      <c r="H66" s="1128"/>
      <c r="J66" s="1127">
        <v>56000</v>
      </c>
      <c r="K66" s="1128"/>
      <c r="L66" s="732"/>
      <c r="M66" s="1127"/>
      <c r="N66" s="1128"/>
      <c r="P66" s="1127"/>
      <c r="Q66" s="1128"/>
      <c r="S66" s="1127"/>
      <c r="T66" s="1128"/>
    </row>
    <row r="67" spans="1:21" s="458" customFormat="1" ht="16.5" thickBot="1">
      <c r="A67" s="562" t="str">
        <f>IF(AND(G67&gt;0,OR(C67="",C67="&lt;Enter detailed description here; use Comments section if needed&gt;")),"X","")</f>
        <v/>
      </c>
      <c r="B67" s="458" t="s">
        <v>1230</v>
      </c>
      <c r="C67" s="997" t="s">
        <v>3660</v>
      </c>
      <c r="D67" s="997"/>
      <c r="E67" s="997"/>
      <c r="F67" s="998"/>
      <c r="G67" s="1219"/>
      <c r="H67" s="1220"/>
      <c r="J67" s="1219"/>
      <c r="K67" s="1220"/>
      <c r="L67" s="732"/>
      <c r="M67" s="1127"/>
      <c r="N67" s="1128"/>
      <c r="P67" s="1127"/>
      <c r="Q67" s="1128"/>
      <c r="S67" s="1127"/>
      <c r="T67" s="1128"/>
      <c r="U67" s="561" t="str">
        <f>IF(AND(G67&gt;0,OR(C67="",C67="&lt;Enter detailed description here; use Comments section if needed&gt;")),"NO DESCRIPTION PROVIDED - please enter detailed description in Other box at left; use Comments section below if needed.","")</f>
        <v/>
      </c>
    </row>
    <row r="68" spans="1:21" s="458" customFormat="1" ht="13.5" thickTop="1">
      <c r="F68" s="523" t="s">
        <v>249</v>
      </c>
      <c r="G68" s="1221">
        <f>SUM(G58:H67)</f>
        <v>528822.64276099997</v>
      </c>
      <c r="H68" s="1222"/>
      <c r="J68" s="1221">
        <f>SUM(J58:K67)</f>
        <v>478822.64276099997</v>
      </c>
      <c r="K68" s="1222"/>
      <c r="L68" s="525"/>
      <c r="M68" s="1221">
        <f>SUM(M58:N67)</f>
        <v>0</v>
      </c>
      <c r="N68" s="1222"/>
      <c r="P68" s="1221">
        <f>SUM(P58:Q67)</f>
        <v>0</v>
      </c>
      <c r="Q68" s="1222"/>
      <c r="S68" s="1221">
        <f>SUM(S58:T67)</f>
        <v>50000</v>
      </c>
      <c r="T68" s="1222"/>
    </row>
    <row r="69" spans="1:2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c r="B70" s="458" t="s">
        <v>1954</v>
      </c>
      <c r="G70" s="1127">
        <v>48853</v>
      </c>
      <c r="H70" s="1128"/>
      <c r="J70" s="1127">
        <v>48853</v>
      </c>
      <c r="K70" s="1128"/>
      <c r="L70" s="732"/>
      <c r="M70" s="1127"/>
      <c r="N70" s="1128"/>
      <c r="P70" s="1127"/>
      <c r="Q70" s="1128"/>
      <c r="S70" s="1127"/>
      <c r="T70" s="1128"/>
    </row>
    <row r="71" spans="1:21" s="458" customFormat="1">
      <c r="B71" s="458" t="s">
        <v>1955</v>
      </c>
      <c r="G71" s="1127">
        <v>45000</v>
      </c>
      <c r="H71" s="1128"/>
      <c r="J71" s="1127">
        <v>45000</v>
      </c>
      <c r="K71" s="1128"/>
      <c r="L71" s="732"/>
      <c r="M71" s="1127"/>
      <c r="N71" s="1128"/>
      <c r="P71" s="1127"/>
      <c r="Q71" s="1128"/>
      <c r="S71" s="1127"/>
      <c r="T71" s="1128"/>
    </row>
    <row r="72" spans="1:21" s="458" customFormat="1">
      <c r="B72" s="458" t="s">
        <v>1956</v>
      </c>
      <c r="D72" s="539" t="s">
        <v>2111</v>
      </c>
      <c r="E72" s="869"/>
      <c r="G72" s="1127"/>
      <c r="H72" s="1128"/>
      <c r="I72" s="482"/>
      <c r="J72" s="1127"/>
      <c r="K72" s="1128"/>
      <c r="L72" s="732"/>
      <c r="M72" s="1127"/>
      <c r="N72" s="1128"/>
      <c r="P72" s="1127"/>
      <c r="Q72" s="1128"/>
      <c r="S72" s="1127"/>
      <c r="T72" s="1128"/>
    </row>
    <row r="73" spans="1:21" s="458" customFormat="1" ht="13.5" thickBot="1">
      <c r="B73" s="458" t="s">
        <v>1957</v>
      </c>
      <c r="D73" s="539" t="s">
        <v>2111</v>
      </c>
      <c r="E73" s="869"/>
      <c r="G73" s="1127"/>
      <c r="H73" s="1128"/>
      <c r="I73" s="482"/>
      <c r="J73" s="1127"/>
      <c r="K73" s="1128"/>
      <c r="L73" s="732"/>
      <c r="M73" s="1127"/>
      <c r="N73" s="1128"/>
      <c r="P73" s="1127"/>
      <c r="Q73" s="1128"/>
      <c r="S73" s="1127"/>
      <c r="T73" s="1128"/>
    </row>
    <row r="74" spans="1:21" s="458" customFormat="1" ht="13.5" thickTop="1">
      <c r="F74" s="523" t="s">
        <v>249</v>
      </c>
      <c r="G74" s="1221">
        <f>SUM(G70:H73)</f>
        <v>93853</v>
      </c>
      <c r="H74" s="1222"/>
      <c r="J74" s="1221">
        <f>SUM(J70:K73)</f>
        <v>93853</v>
      </c>
      <c r="K74" s="1222"/>
      <c r="L74" s="525"/>
      <c r="M74" s="1221">
        <f>SUM(M70:N73)</f>
        <v>0</v>
      </c>
      <c r="N74" s="1222"/>
      <c r="P74" s="1221">
        <f>SUM(P70:Q73)</f>
        <v>0</v>
      </c>
      <c r="Q74" s="1222"/>
      <c r="S74" s="1221">
        <f>SUM(S70:T73)</f>
        <v>0</v>
      </c>
      <c r="T74" s="1222"/>
    </row>
    <row r="75" spans="1:21" s="458" customFormat="1">
      <c r="B75" s="461" t="s">
        <v>1093</v>
      </c>
      <c r="J75" s="525"/>
      <c r="K75" s="525"/>
      <c r="M75" s="525"/>
      <c r="N75" s="525"/>
      <c r="O75" s="524" t="str">
        <f>B75</f>
        <v>PERMANENT FINANCING FEES</v>
      </c>
      <c r="P75" s="525"/>
      <c r="Q75" s="525"/>
      <c r="S75" s="525"/>
      <c r="T75" s="525"/>
    </row>
    <row r="76" spans="1:21" s="458" customFormat="1">
      <c r="B76" s="458" t="s">
        <v>1958</v>
      </c>
      <c r="G76" s="1127"/>
      <c r="H76" s="1128"/>
      <c r="J76" s="1218"/>
      <c r="K76" s="1218"/>
      <c r="L76" s="732"/>
      <c r="M76" s="1218"/>
      <c r="N76" s="1218"/>
      <c r="P76" s="1218"/>
      <c r="Q76" s="1218"/>
      <c r="S76" s="1127"/>
      <c r="T76" s="1128"/>
    </row>
    <row r="77" spans="1:21" s="458" customFormat="1">
      <c r="B77" s="458" t="s">
        <v>1959</v>
      </c>
      <c r="G77" s="1127"/>
      <c r="H77" s="1128"/>
      <c r="J77" s="1229"/>
      <c r="K77" s="1229"/>
      <c r="L77" s="732"/>
      <c r="M77" s="1229"/>
      <c r="N77" s="1229"/>
      <c r="P77" s="1229"/>
      <c r="Q77" s="1229"/>
      <c r="S77" s="1127"/>
      <c r="T77" s="1128"/>
    </row>
    <row r="78" spans="1:21" s="458" customFormat="1">
      <c r="B78" s="458" t="s">
        <v>1960</v>
      </c>
      <c r="G78" s="1127">
        <v>40000</v>
      </c>
      <c r="H78" s="1128"/>
      <c r="J78" s="1127">
        <v>40000</v>
      </c>
      <c r="K78" s="1128"/>
      <c r="L78" s="732"/>
      <c r="M78" s="1127"/>
      <c r="N78" s="1128"/>
      <c r="P78" s="1127"/>
      <c r="Q78" s="1128"/>
      <c r="S78" s="1127"/>
      <c r="T78" s="1128"/>
    </row>
    <row r="79" spans="1:21" s="458" customFormat="1">
      <c r="B79" s="458" t="s">
        <v>1961</v>
      </c>
      <c r="G79" s="1127">
        <v>7760</v>
      </c>
      <c r="H79" s="1128"/>
      <c r="J79" s="1127">
        <v>7760</v>
      </c>
      <c r="K79" s="1128"/>
      <c r="L79" s="732"/>
      <c r="M79" s="1127"/>
      <c r="N79" s="1128"/>
      <c r="P79" s="1127"/>
      <c r="Q79" s="1128"/>
      <c r="S79" s="1127"/>
      <c r="T79" s="1128"/>
    </row>
    <row r="80" spans="1:21" s="458" customFormat="1">
      <c r="B80" s="458" t="s">
        <v>1962</v>
      </c>
      <c r="G80" s="1127"/>
      <c r="H80" s="1128"/>
      <c r="J80" s="1127"/>
      <c r="K80" s="1128"/>
      <c r="L80" s="732"/>
      <c r="M80" s="1127"/>
      <c r="N80" s="1128"/>
      <c r="P80" s="1127"/>
      <c r="Q80" s="1128"/>
      <c r="S80" s="1127"/>
      <c r="T80" s="1128"/>
    </row>
    <row r="81" spans="1:21" s="458" customFormat="1">
      <c r="B81" s="458" t="s">
        <v>3439</v>
      </c>
      <c r="G81" s="1127"/>
      <c r="H81" s="1128"/>
      <c r="J81" s="1127"/>
      <c r="K81" s="1128"/>
      <c r="L81" s="732"/>
      <c r="M81" s="1127"/>
      <c r="N81" s="1128"/>
      <c r="P81" s="1127"/>
      <c r="Q81" s="1128"/>
      <c r="S81" s="1127"/>
      <c r="T81" s="1128"/>
    </row>
    <row r="82" spans="1:21" s="458" customFormat="1" ht="16.5" thickBot="1">
      <c r="A82" s="562" t="str">
        <f>IF(AND(G82&gt;0,OR(C82="",C82="&lt;Enter detailed description here; use Comments section if needed&gt;")),"X","")</f>
        <v/>
      </c>
      <c r="B82" s="458" t="s">
        <v>1230</v>
      </c>
      <c r="C82" s="997" t="s">
        <v>4023</v>
      </c>
      <c r="D82" s="997"/>
      <c r="E82" s="997"/>
      <c r="F82" s="998"/>
      <c r="G82" s="1219">
        <v>35000</v>
      </c>
      <c r="H82" s="1220"/>
      <c r="J82" s="1127"/>
      <c r="K82" s="1128"/>
      <c r="L82" s="732"/>
      <c r="M82" s="1127"/>
      <c r="N82" s="1128"/>
      <c r="P82" s="1127"/>
      <c r="Q82" s="1128"/>
      <c r="S82" s="1219">
        <v>35000</v>
      </c>
      <c r="T82" s="1220"/>
      <c r="U82" s="561" t="str">
        <f>IF(AND(G82&gt;0,OR(C82="",C82="&lt;Enter detailed description here; use Comments section if needed&gt;")),"NO DESCRIPTION PROVIDED - please enter detailed description in Other box at left; use Comments section below if needed.","")</f>
        <v/>
      </c>
    </row>
    <row r="83" spans="1:21" s="458" customFormat="1" ht="19.5" customHeight="1" thickTop="1">
      <c r="F83" s="523" t="s">
        <v>249</v>
      </c>
      <c r="G83" s="1221">
        <f>SUM(G76:H82)</f>
        <v>82760</v>
      </c>
      <c r="H83" s="1222"/>
      <c r="J83" s="1221">
        <f>SUM(J78:K82)</f>
        <v>47760</v>
      </c>
      <c r="K83" s="1222"/>
      <c r="L83" s="525"/>
      <c r="M83" s="1221">
        <f>SUM(M78:N82)</f>
        <v>0</v>
      </c>
      <c r="N83" s="1222"/>
      <c r="P83" s="1221">
        <f>SUM(P78:Q82)</f>
        <v>0</v>
      </c>
      <c r="Q83" s="1222"/>
      <c r="S83" s="1221">
        <f>SUM(S76:T82)</f>
        <v>35000</v>
      </c>
      <c r="T83" s="1222"/>
    </row>
    <row r="84" spans="1:21" s="458" customForma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13.5"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3.5" thickBot="1">
      <c r="A86" s="491" t="s">
        <v>950</v>
      </c>
      <c r="B86" s="461" t="s">
        <v>1494</v>
      </c>
      <c r="H86" s="721"/>
      <c r="I86" s="721"/>
      <c r="J86" s="1223" t="s">
        <v>359</v>
      </c>
      <c r="K86" s="1224"/>
      <c r="L86" s="522"/>
      <c r="M86" s="1233" t="s">
        <v>720</v>
      </c>
      <c r="N86" s="1234"/>
      <c r="P86" s="1223" t="s">
        <v>360</v>
      </c>
      <c r="Q86" s="1224"/>
      <c r="S86" s="1223" t="s">
        <v>361</v>
      </c>
      <c r="T86" s="1224"/>
    </row>
    <row r="87" spans="1:21" s="458" customFormat="1" ht="24.75" customHeight="1" thickBot="1">
      <c r="G87" s="1227" t="s">
        <v>115</v>
      </c>
      <c r="H87" s="1228"/>
      <c r="J87" s="1225"/>
      <c r="K87" s="1226"/>
      <c r="L87" s="522"/>
      <c r="M87" s="1235"/>
      <c r="N87" s="1236"/>
      <c r="P87" s="1225"/>
      <c r="Q87" s="1226"/>
      <c r="S87" s="1225"/>
      <c r="T87" s="1226"/>
    </row>
    <row r="88" spans="1:21" s="458" customFormat="1">
      <c r="B88" s="461" t="s">
        <v>1094</v>
      </c>
      <c r="J88" s="525"/>
      <c r="K88" s="525"/>
      <c r="M88" s="525"/>
      <c r="N88" s="525"/>
      <c r="O88" s="524" t="str">
        <f>B88</f>
        <v>DCA-RELATED COSTS</v>
      </c>
      <c r="P88" s="525"/>
      <c r="Q88" s="525"/>
      <c r="S88" s="525"/>
      <c r="T88" s="525"/>
    </row>
    <row r="89" spans="1:21" s="458" customFormat="1">
      <c r="B89" s="458" t="s">
        <v>2288</v>
      </c>
      <c r="G89" s="1127"/>
      <c r="H89" s="1128"/>
      <c r="J89" s="525"/>
      <c r="K89" s="525"/>
      <c r="L89" s="732"/>
      <c r="M89" s="525"/>
      <c r="N89" s="525"/>
      <c r="P89" s="525"/>
      <c r="Q89" s="525"/>
      <c r="S89" s="1127"/>
      <c r="T89" s="1128"/>
    </row>
    <row r="90" spans="1:21" s="458" customFormat="1">
      <c r="B90" s="458" t="s">
        <v>1858</v>
      </c>
      <c r="G90" s="1127">
        <v>4000</v>
      </c>
      <c r="H90" s="1128"/>
      <c r="J90" s="525"/>
      <c r="K90" s="525"/>
      <c r="L90" s="540"/>
      <c r="M90" s="525"/>
      <c r="N90" s="525"/>
      <c r="P90" s="525"/>
      <c r="Q90" s="525"/>
      <c r="S90" s="1127">
        <v>4000</v>
      </c>
      <c r="T90" s="1128"/>
    </row>
    <row r="91" spans="1:21" s="458" customFormat="1">
      <c r="B91" s="458" t="s">
        <v>2747</v>
      </c>
      <c r="G91" s="1127"/>
      <c r="H91" s="1128"/>
      <c r="J91" s="525"/>
      <c r="K91" s="525"/>
      <c r="L91" s="540"/>
      <c r="M91" s="525"/>
      <c r="N91" s="525"/>
      <c r="O91" s="721"/>
      <c r="P91" s="525"/>
      <c r="Q91" s="525"/>
      <c r="S91" s="1127">
        <v>0</v>
      </c>
      <c r="T91" s="1128"/>
    </row>
    <row r="92" spans="1:21" s="458" customFormat="1">
      <c r="B92" s="458" t="s">
        <v>811</v>
      </c>
      <c r="E92" s="1245">
        <f>'DCA Underwriting Assumptions'!$Q$41*$J$165</f>
        <v>49691.740000000005</v>
      </c>
      <c r="F92" s="1246"/>
      <c r="G92" s="1127">
        <v>49692</v>
      </c>
      <c r="H92" s="1128"/>
      <c r="J92" s="525"/>
      <c r="K92" s="525"/>
      <c r="L92" s="732"/>
      <c r="M92" s="525"/>
      <c r="N92" s="525"/>
      <c r="O92" s="721"/>
      <c r="P92" s="525"/>
      <c r="Q92" s="525"/>
      <c r="S92" s="1127">
        <v>49692</v>
      </c>
      <c r="T92" s="1128"/>
    </row>
    <row r="93" spans="1:21" s="458" customFormat="1">
      <c r="B93" s="458" t="s">
        <v>1244</v>
      </c>
      <c r="E93" s="1245">
        <f>'Part VI-Revenues &amp; Expenses'!$M$63*'DCA Underwriting Assumptions'!$Q$44</f>
        <v>42000</v>
      </c>
      <c r="F93" s="1246"/>
      <c r="G93" s="1127">
        <v>42000</v>
      </c>
      <c r="H93" s="1128"/>
      <c r="J93" s="418"/>
      <c r="K93" s="418"/>
      <c r="L93" s="418"/>
      <c r="M93" s="418"/>
      <c r="N93" s="418"/>
      <c r="O93" s="418"/>
      <c r="P93" s="418"/>
      <c r="Q93" s="418"/>
      <c r="S93" s="1127">
        <v>42000</v>
      </c>
      <c r="T93" s="1128"/>
    </row>
    <row r="94" spans="1:21" s="458" customFormat="1">
      <c r="B94" s="458" t="s">
        <v>715</v>
      </c>
      <c r="G94" s="1127"/>
      <c r="H94" s="1128"/>
      <c r="J94" s="418"/>
      <c r="K94" s="418"/>
      <c r="L94" s="418"/>
      <c r="M94" s="418"/>
      <c r="N94" s="418"/>
      <c r="O94" s="418"/>
      <c r="P94" s="418"/>
      <c r="Q94" s="418"/>
      <c r="S94" s="1127">
        <v>0</v>
      </c>
      <c r="T94" s="1128"/>
    </row>
    <row r="95" spans="1:21" s="458" customFormat="1">
      <c r="B95" s="458" t="s">
        <v>3553</v>
      </c>
      <c r="G95" s="1127">
        <v>3000</v>
      </c>
      <c r="H95" s="1128"/>
      <c r="J95" s="418"/>
      <c r="K95" s="418"/>
      <c r="L95" s="418"/>
      <c r="M95" s="418"/>
      <c r="N95" s="418"/>
      <c r="O95" s="418"/>
      <c r="P95" s="418"/>
      <c r="Q95" s="418"/>
      <c r="S95" s="1127">
        <v>3000</v>
      </c>
      <c r="T95" s="1128"/>
    </row>
    <row r="96" spans="1:21" s="458" customFormat="1" ht="15.75">
      <c r="A96" s="562" t="str">
        <f>IF(AND(G96&gt;0,OR(C96="",C96="&lt;Enter detailed description here; use Comments section if needed&gt;")),"X","")</f>
        <v/>
      </c>
      <c r="B96" s="458" t="s">
        <v>1230</v>
      </c>
      <c r="C96" s="997" t="s">
        <v>3660</v>
      </c>
      <c r="D96" s="997"/>
      <c r="E96" s="997"/>
      <c r="F96" s="998"/>
      <c r="G96" s="1127"/>
      <c r="H96" s="1128"/>
      <c r="J96" s="418"/>
      <c r="K96" s="418"/>
      <c r="L96" s="418"/>
      <c r="M96" s="418"/>
      <c r="N96" s="418"/>
      <c r="O96" s="418"/>
      <c r="P96" s="418"/>
      <c r="Q96" s="418"/>
      <c r="S96" s="1127">
        <v>0</v>
      </c>
      <c r="T96" s="1128"/>
      <c r="U96" s="561" t="str">
        <f>IF(AND(G96&gt;0,OR(C96="",C96="&lt;Enter detailed description here; use Comments section if needed&gt;")),"NO DESCRIPTION PROVIDED - please enter detailed description in Other box at left; use Comments section below if needed.","")</f>
        <v/>
      </c>
    </row>
    <row r="97" spans="1:21" s="458" customFormat="1" ht="16.5" thickBot="1">
      <c r="A97" s="562" t="str">
        <f>IF(AND(G97&gt;0,OR(C97="",C97="&lt;Enter detailed description here; use Comments section if needed&gt;")),"X","")</f>
        <v/>
      </c>
      <c r="B97" s="458" t="s">
        <v>1230</v>
      </c>
      <c r="C97" s="997" t="s">
        <v>3660</v>
      </c>
      <c r="D97" s="997"/>
      <c r="E97" s="997"/>
      <c r="F97" s="998"/>
      <c r="G97" s="1219"/>
      <c r="H97" s="1220"/>
      <c r="J97" s="418"/>
      <c r="K97" s="418"/>
      <c r="L97" s="418"/>
      <c r="M97" s="418"/>
      <c r="N97" s="418"/>
      <c r="O97" s="418"/>
      <c r="P97" s="418"/>
      <c r="Q97" s="418"/>
      <c r="S97" s="1219">
        <v>0</v>
      </c>
      <c r="T97" s="1220"/>
      <c r="U97" s="561" t="str">
        <f>IF(AND(G97&gt;0,OR(C97="",C97="&lt;Enter detailed description here; use Comments section if needed&gt;")),"NO DESCRIPTION PROVIDED - please enter detailed description in Other box at left; use Comments section below if needed.","")</f>
        <v/>
      </c>
    </row>
    <row r="98" spans="1:21" s="458" customFormat="1" ht="13.5" thickTop="1">
      <c r="F98" s="523" t="s">
        <v>249</v>
      </c>
      <c r="G98" s="1221">
        <f>SUM(G89:H97)</f>
        <v>98692</v>
      </c>
      <c r="H98" s="1222"/>
      <c r="J98" s="525"/>
      <c r="K98" s="525"/>
      <c r="L98" s="732"/>
      <c r="M98" s="525"/>
      <c r="N98" s="525"/>
      <c r="P98" s="525"/>
      <c r="Q98" s="525"/>
      <c r="S98" s="1221">
        <f>SUM(S89:T97)</f>
        <v>98692</v>
      </c>
      <c r="T98" s="1222"/>
    </row>
    <row r="99" spans="1:21" s="458" customFormat="1">
      <c r="B99" s="461" t="s">
        <v>3440</v>
      </c>
      <c r="J99" s="525"/>
      <c r="K99" s="525"/>
      <c r="M99" s="525"/>
      <c r="N99" s="525"/>
      <c r="O99" s="524" t="str">
        <f>B99</f>
        <v>EQUITY COSTS</v>
      </c>
      <c r="P99" s="525"/>
      <c r="Q99" s="525"/>
      <c r="S99" s="525"/>
      <c r="T99" s="525"/>
    </row>
    <row r="100" spans="1:21" s="458" customFormat="1">
      <c r="B100" s="458" t="s">
        <v>370</v>
      </c>
      <c r="G100" s="1127">
        <v>20000</v>
      </c>
      <c r="H100" s="1128"/>
      <c r="J100" s="1218"/>
      <c r="K100" s="1218"/>
      <c r="L100" s="732"/>
      <c r="M100" s="1218"/>
      <c r="N100" s="1218"/>
      <c r="O100" s="721"/>
      <c r="P100" s="1218"/>
      <c r="Q100" s="1218"/>
      <c r="S100" s="1127">
        <v>20000</v>
      </c>
      <c r="T100" s="1128"/>
    </row>
    <row r="101" spans="1:21" s="458" customFormat="1">
      <c r="B101" s="458" t="s">
        <v>372</v>
      </c>
      <c r="G101" s="1127">
        <v>5000</v>
      </c>
      <c r="H101" s="1128"/>
      <c r="J101" s="1218"/>
      <c r="K101" s="1218"/>
      <c r="L101" s="732"/>
      <c r="M101" s="1218"/>
      <c r="N101" s="1218"/>
      <c r="O101" s="721"/>
      <c r="P101" s="1218"/>
      <c r="Q101" s="1218"/>
      <c r="S101" s="1127">
        <v>5000</v>
      </c>
      <c r="T101" s="1128"/>
    </row>
    <row r="102" spans="1:21" s="458" customFormat="1">
      <c r="B102" s="458" t="s">
        <v>3615</v>
      </c>
      <c r="G102" s="1127">
        <v>40000</v>
      </c>
      <c r="H102" s="1128"/>
      <c r="J102" s="1218"/>
      <c r="K102" s="1218"/>
      <c r="L102" s="732"/>
      <c r="M102" s="1218"/>
      <c r="N102" s="1218"/>
      <c r="O102" s="721"/>
      <c r="P102" s="1218"/>
      <c r="Q102" s="1218"/>
      <c r="S102" s="1127">
        <v>40000</v>
      </c>
      <c r="T102" s="1128"/>
    </row>
    <row r="103" spans="1:21" s="458" customFormat="1" ht="16.5" thickBot="1">
      <c r="A103" s="562" t="str">
        <f>IF(AND(G103&gt;0,OR(C103="",C103="&lt;Enter detailed description here; use Comments section if needed&gt;")),"X","")</f>
        <v/>
      </c>
      <c r="B103" s="458" t="s">
        <v>1230</v>
      </c>
      <c r="C103" s="997" t="s">
        <v>3660</v>
      </c>
      <c r="D103" s="997"/>
      <c r="E103" s="997"/>
      <c r="F103" s="998"/>
      <c r="G103" s="1219"/>
      <c r="H103" s="1220"/>
      <c r="J103" s="1218"/>
      <c r="K103" s="1218"/>
      <c r="L103" s="732"/>
      <c r="M103" s="1218"/>
      <c r="N103" s="1218"/>
      <c r="O103" s="721"/>
      <c r="P103" s="1218"/>
      <c r="Q103" s="1218"/>
      <c r="S103" s="1219">
        <v>0</v>
      </c>
      <c r="T103" s="1220"/>
      <c r="U103" s="561" t="str">
        <f>IF(AND(G103&gt;0,OR(C103="",C103="&lt;Enter detailed description here; use Comments section if needed&gt;")),"NO DESCRIPTION PROVIDED - please enter detailed description in Other box at left; use Comments section below if needed.","")</f>
        <v/>
      </c>
    </row>
    <row r="104" spans="1:21" s="458" customFormat="1" ht="13.5" thickTop="1">
      <c r="F104" s="523" t="s">
        <v>249</v>
      </c>
      <c r="G104" s="1221">
        <f>SUM(G100:H103)</f>
        <v>65000</v>
      </c>
      <c r="H104" s="1222"/>
      <c r="J104" s="1218"/>
      <c r="K104" s="1218"/>
      <c r="L104" s="732"/>
      <c r="M104" s="1218"/>
      <c r="N104" s="1218"/>
      <c r="O104" s="721"/>
      <c r="P104" s="1218"/>
      <c r="Q104" s="1218"/>
      <c r="S104" s="1221">
        <f>SUM(S100:T103)</f>
        <v>65000</v>
      </c>
      <c r="T104" s="1222"/>
    </row>
    <row r="105" spans="1:21" s="458" customFormat="1">
      <c r="B105" s="461" t="s">
        <v>373</v>
      </c>
      <c r="J105" s="525"/>
      <c r="K105" s="522"/>
      <c r="M105" s="525"/>
      <c r="N105" s="522"/>
      <c r="O105" s="524" t="str">
        <f>B105</f>
        <v>DEVELOPER'S FEE</v>
      </c>
      <c r="P105" s="525"/>
      <c r="Q105" s="522"/>
      <c r="S105" s="525"/>
      <c r="T105" s="522"/>
    </row>
    <row r="106" spans="1:21" s="458" customFormat="1">
      <c r="B106" s="458" t="s">
        <v>2915</v>
      </c>
      <c r="F106" s="647">
        <f>G106/$G$109</f>
        <v>0</v>
      </c>
      <c r="G106" s="1127"/>
      <c r="H106" s="1128"/>
      <c r="J106" s="1127">
        <f>G106</f>
        <v>0</v>
      </c>
      <c r="K106" s="1128"/>
      <c r="L106" s="524"/>
      <c r="M106" s="1127"/>
      <c r="N106" s="1128"/>
      <c r="P106" s="1127"/>
      <c r="Q106" s="1128"/>
      <c r="S106" s="1127"/>
      <c r="T106" s="1128"/>
    </row>
    <row r="107" spans="1:21" s="458" customFormat="1">
      <c r="B107" s="458" t="s">
        <v>2916</v>
      </c>
      <c r="F107" s="647">
        <f>G107/$G$109</f>
        <v>0</v>
      </c>
      <c r="G107" s="1127"/>
      <c r="H107" s="1128"/>
      <c r="J107" s="1127"/>
      <c r="K107" s="1128"/>
      <c r="L107" s="732"/>
      <c r="M107" s="1127"/>
      <c r="N107" s="1128"/>
      <c r="P107" s="1127"/>
      <c r="Q107" s="1128"/>
      <c r="S107" s="1127"/>
      <c r="T107" s="1128"/>
    </row>
    <row r="108" spans="1:21" s="458" customFormat="1" ht="13.5" thickBot="1">
      <c r="B108" s="458" t="s">
        <v>2908</v>
      </c>
      <c r="F108" s="647">
        <f>G108/$G$109</f>
        <v>1</v>
      </c>
      <c r="G108" s="1127">
        <v>901876</v>
      </c>
      <c r="H108" s="1128"/>
      <c r="J108" s="1219">
        <v>901876</v>
      </c>
      <c r="K108" s="1220"/>
      <c r="L108" s="732"/>
      <c r="M108" s="1127"/>
      <c r="N108" s="1128"/>
      <c r="P108" s="1127"/>
      <c r="Q108" s="1128"/>
      <c r="S108" s="1127"/>
      <c r="T108" s="1128"/>
    </row>
    <row r="109" spans="1:21" s="458" customFormat="1" ht="13.5" thickTop="1">
      <c r="C109" s="561" t="str">
        <f>IF(G109&lt;='DCA Underwriting Assumptions'!$Q$46,"","Developer Fee exceeds DCA Program Maximum !!!")</f>
        <v/>
      </c>
      <c r="F109" s="523" t="s">
        <v>249</v>
      </c>
      <c r="G109" s="1221">
        <f>SUM(G106:H108)</f>
        <v>901876</v>
      </c>
      <c r="H109" s="1222"/>
      <c r="J109" s="1221">
        <f>SUM(J106:K108)</f>
        <v>901876</v>
      </c>
      <c r="K109" s="1222"/>
      <c r="L109" s="732"/>
      <c r="M109" s="1221">
        <f>SUM(M106:N108)</f>
        <v>0</v>
      </c>
      <c r="N109" s="1222"/>
      <c r="P109" s="1221">
        <f>SUM(P106:Q108)</f>
        <v>0</v>
      </c>
      <c r="Q109" s="1222"/>
      <c r="S109" s="1221">
        <f>SUM(S106:T108)</f>
        <v>0</v>
      </c>
      <c r="T109" s="1222"/>
    </row>
    <row r="110" spans="1:21" s="458" customFormat="1">
      <c r="B110" s="461" t="s">
        <v>2010</v>
      </c>
      <c r="J110" s="522"/>
      <c r="K110" s="522"/>
      <c r="M110" s="522"/>
      <c r="N110" s="522"/>
      <c r="O110" s="524" t="str">
        <f>B110</f>
        <v>START-UP AND RESERVES</v>
      </c>
      <c r="P110" s="522"/>
      <c r="Q110" s="522"/>
      <c r="S110" s="522"/>
      <c r="T110" s="522"/>
    </row>
    <row r="111" spans="1:21" s="458" customFormat="1">
      <c r="B111" s="458" t="s">
        <v>324</v>
      </c>
      <c r="G111" s="1127">
        <v>55000</v>
      </c>
      <c r="H111" s="1128"/>
      <c r="J111" s="541"/>
      <c r="K111" s="541"/>
      <c r="L111" s="541"/>
      <c r="M111" s="541"/>
      <c r="N111" s="541"/>
      <c r="P111" s="541"/>
      <c r="Q111" s="541"/>
      <c r="S111" s="1127">
        <v>55000</v>
      </c>
      <c r="T111" s="1128"/>
    </row>
    <row r="112" spans="1:21" s="458" customFormat="1">
      <c r="B112" s="458" t="s">
        <v>2287</v>
      </c>
      <c r="G112" s="1127">
        <v>98201.573060186667</v>
      </c>
      <c r="H112" s="1128"/>
      <c r="J112" s="1218"/>
      <c r="K112" s="1218"/>
      <c r="L112" s="732"/>
      <c r="M112" s="1218"/>
      <c r="N112" s="1218"/>
      <c r="O112" s="721"/>
      <c r="P112" s="1218"/>
      <c r="Q112" s="1218"/>
      <c r="R112" s="721"/>
      <c r="S112" s="1127">
        <v>98201.573060186667</v>
      </c>
      <c r="T112" s="1128"/>
    </row>
    <row r="113" spans="1:21" s="458" customFormat="1">
      <c r="B113" s="458" t="s">
        <v>1028</v>
      </c>
      <c r="F113" s="482"/>
      <c r="G113" s="1127">
        <v>195919.70143156272</v>
      </c>
      <c r="H113" s="1128"/>
      <c r="J113" s="540"/>
      <c r="K113" s="540"/>
      <c r="L113" s="540"/>
      <c r="M113" s="540"/>
      <c r="N113" s="540"/>
      <c r="O113" s="721"/>
      <c r="P113" s="540"/>
      <c r="Q113" s="540"/>
      <c r="R113" s="721"/>
      <c r="S113" s="1127">
        <v>195919.70143156272</v>
      </c>
      <c r="T113" s="1128"/>
    </row>
    <row r="114" spans="1:21" s="458" customFormat="1">
      <c r="B114" s="458" t="s">
        <v>1922</v>
      </c>
      <c r="G114" s="1127"/>
      <c r="H114" s="1128"/>
      <c r="J114" s="541"/>
      <c r="K114" s="541"/>
      <c r="L114" s="541"/>
      <c r="M114" s="541"/>
      <c r="N114" s="541"/>
      <c r="P114" s="541"/>
      <c r="Q114" s="541"/>
      <c r="S114" s="1127">
        <v>0</v>
      </c>
      <c r="T114" s="1128"/>
    </row>
    <row r="115" spans="1:21" s="458" customFormat="1">
      <c r="B115" s="458" t="s">
        <v>1923</v>
      </c>
      <c r="E115" s="458" t="s">
        <v>1471</v>
      </c>
      <c r="F115" s="647">
        <f>G115/'Part VI-Revenues &amp; Expenses'!$M$63</f>
        <v>3057.5</v>
      </c>
      <c r="G115" s="1127">
        <v>183450</v>
      </c>
      <c r="H115" s="1128"/>
      <c r="J115" s="1127">
        <v>123450</v>
      </c>
      <c r="K115" s="1128"/>
      <c r="L115" s="732"/>
      <c r="M115" s="1127"/>
      <c r="N115" s="1128"/>
      <c r="P115" s="1127"/>
      <c r="Q115" s="1128"/>
      <c r="S115" s="1127">
        <v>60000</v>
      </c>
      <c r="T115" s="1128"/>
    </row>
    <row r="116" spans="1:21" s="458" customFormat="1" ht="16.5" thickBot="1">
      <c r="A116" s="562" t="str">
        <f>IF(AND(G116&gt;0,OR(C116="",C116="&lt;Enter detailed description here; use Comments section if needed&gt;")),"X","")</f>
        <v/>
      </c>
      <c r="B116" s="458" t="s">
        <v>1230</v>
      </c>
      <c r="C116" s="997" t="s">
        <v>3660</v>
      </c>
      <c r="D116" s="997"/>
      <c r="E116" s="997"/>
      <c r="F116" s="998"/>
      <c r="G116" s="1219"/>
      <c r="H116" s="1220"/>
      <c r="J116" s="1127"/>
      <c r="K116" s="1128"/>
      <c r="L116" s="732"/>
      <c r="M116" s="1127"/>
      <c r="N116" s="1128"/>
      <c r="P116" s="1127"/>
      <c r="Q116" s="1128"/>
      <c r="S116" s="1127">
        <f t="shared" ref="S116" si="0">G116</f>
        <v>0</v>
      </c>
      <c r="T116" s="1128"/>
      <c r="U116" s="561" t="str">
        <f>IF(AND(G116&gt;0,OR(C116="",C116="&lt;Enter detailed description here; use Comments section if needed&gt;")),"NO DESCRIPTION PROVIDED - please enter detailed description in Other box at left; use Comments section below if needed.","")</f>
        <v/>
      </c>
    </row>
    <row r="117" spans="1:21" s="458" customFormat="1" ht="13.5" thickTop="1">
      <c r="B117" s="542"/>
      <c r="F117" s="523" t="s">
        <v>249</v>
      </c>
      <c r="G117" s="1221">
        <f>SUM(G111:H116)</f>
        <v>532571.27449174935</v>
      </c>
      <c r="H117" s="1222"/>
      <c r="J117" s="1221">
        <f>SUM(J115:K116)</f>
        <v>123450</v>
      </c>
      <c r="K117" s="1222"/>
      <c r="L117" s="732"/>
      <c r="M117" s="1221">
        <f>SUM(M115:N116)</f>
        <v>0</v>
      </c>
      <c r="N117" s="1222"/>
      <c r="P117" s="1221">
        <f>SUM(P115:Q116)</f>
        <v>0</v>
      </c>
      <c r="Q117" s="1222"/>
      <c r="S117" s="1221">
        <f>SUM(S111:T116)</f>
        <v>409121.27449174935</v>
      </c>
      <c r="T117" s="1222"/>
    </row>
    <row r="118" spans="1:21" s="458" customFormat="1">
      <c r="B118" s="461" t="s">
        <v>943</v>
      </c>
      <c r="C118" s="713"/>
      <c r="H118" s="538"/>
      <c r="I118" s="538"/>
      <c r="J118" s="522"/>
      <c r="K118" s="522"/>
      <c r="M118" s="522"/>
      <c r="N118" s="522"/>
      <c r="O118" s="524" t="str">
        <f>B118</f>
        <v>OTHER COSTS</v>
      </c>
      <c r="P118" s="522"/>
      <c r="Q118" s="522"/>
      <c r="S118" s="522"/>
      <c r="T118" s="522"/>
    </row>
    <row r="119" spans="1:21" s="458" customFormat="1">
      <c r="B119" s="458" t="s">
        <v>944</v>
      </c>
      <c r="C119" s="713"/>
      <c r="G119" s="1127"/>
      <c r="H119" s="1128"/>
      <c r="J119" s="1127"/>
      <c r="K119" s="1128"/>
      <c r="L119" s="524"/>
      <c r="M119" s="1127"/>
      <c r="N119" s="1128"/>
      <c r="P119" s="1127"/>
      <c r="Q119" s="1128"/>
      <c r="S119" s="1127"/>
      <c r="T119" s="1128"/>
    </row>
    <row r="120" spans="1:21" s="458" customFormat="1" ht="16.5" thickBot="1">
      <c r="A120" s="562" t="str">
        <f>IF(AND(G120&gt;0,OR(C120="",C120="&lt;Enter detailed description here; use Comments section if needed&gt;")),"X","")</f>
        <v/>
      </c>
      <c r="B120" s="458" t="s">
        <v>1230</v>
      </c>
      <c r="C120" s="997" t="s">
        <v>3660</v>
      </c>
      <c r="D120" s="997"/>
      <c r="E120" s="997"/>
      <c r="F120" s="998"/>
      <c r="G120" s="1127"/>
      <c r="H120" s="1128"/>
      <c r="J120" s="1127"/>
      <c r="K120" s="1128"/>
      <c r="L120" s="732"/>
      <c r="M120" s="1127"/>
      <c r="N120" s="1128"/>
      <c r="P120" s="1127"/>
      <c r="Q120" s="1128"/>
      <c r="S120" s="1127"/>
      <c r="T120" s="1128"/>
      <c r="U120" s="561" t="str">
        <f>IF(AND(G120&gt;0,OR(C120="",C120="&lt;Enter detailed description here; use Comments section if needed&gt;")),"NO DESCRIPTION PROVIDED - please enter detailed description in Other box at left; use Comments section below if needed.","")</f>
        <v/>
      </c>
    </row>
    <row r="121" spans="1:21" s="458" customFormat="1" ht="13.5" thickTop="1">
      <c r="C121" s="713"/>
      <c r="F121" s="523" t="s">
        <v>249</v>
      </c>
      <c r="G121" s="1221">
        <f>SUM(G119:H120)</f>
        <v>0</v>
      </c>
      <c r="H121" s="1222"/>
      <c r="J121" s="1221">
        <f>SUM(J119:K120)</f>
        <v>0</v>
      </c>
      <c r="K121" s="1222"/>
      <c r="L121" s="732"/>
      <c r="M121" s="1221">
        <f>SUM(M119:N120)</f>
        <v>0</v>
      </c>
      <c r="N121" s="1222"/>
      <c r="P121" s="1221">
        <f>SUM(P119:Q120)</f>
        <v>0</v>
      </c>
      <c r="Q121" s="1222"/>
      <c r="S121" s="1221">
        <f>SUM(S119:T120)</f>
        <v>0</v>
      </c>
      <c r="T121" s="1222"/>
    </row>
    <row r="122" spans="1:21" s="458" customFormat="1" ht="13.5" thickBot="1">
      <c r="C122" s="713"/>
      <c r="H122" s="538"/>
      <c r="I122" s="538"/>
      <c r="L122" s="721"/>
    </row>
    <row r="123" spans="1:21" s="458" customFormat="1" ht="13.5" thickBot="1">
      <c r="B123" s="465" t="s">
        <v>374</v>
      </c>
      <c r="G123" s="1230">
        <f>G17+G23+G27+G32+G36+G42+G56+G68+G74+G83+G98+G104+G109+G117+G121</f>
        <v>7598820.2592527494</v>
      </c>
      <c r="H123" s="1231"/>
      <c r="J123" s="1230">
        <f>J17+J23+J27+J32+J36+J42+J56+J68+J74+J83+J98+J104+J109+J117+J121</f>
        <v>6191006.9847609997</v>
      </c>
      <c r="K123" s="1231"/>
      <c r="M123" s="1230">
        <f>M17+M23+M27+M32+M36+M42+M56+M68+M74+M83+M98+M104+M109+M117+M121</f>
        <v>0</v>
      </c>
      <c r="N123" s="1231"/>
      <c r="P123" s="1230">
        <f>P17+P23+P27+P32+P36+P42+P56+P68+P74+P83+P98+P104+P109+P117+P121</f>
        <v>0</v>
      </c>
      <c r="Q123" s="1231"/>
      <c r="S123" s="1230">
        <f>S17+S23+S27+S32+S36+S42+S56+S68+S74+S83+S98+S104+S109+S117+S121</f>
        <v>1407813.2744917492</v>
      </c>
      <c r="T123" s="1231"/>
    </row>
    <row r="124" spans="1:21" s="458" customFormat="1" ht="13.5" thickBot="1">
      <c r="C124" s="713"/>
      <c r="H124" s="538"/>
      <c r="I124" s="538"/>
      <c r="L124" s="721"/>
    </row>
    <row r="125" spans="1:21" s="458" customFormat="1" ht="13.5" thickBot="1">
      <c r="B125" s="465" t="s">
        <v>3896</v>
      </c>
      <c r="D125" s="1304">
        <f>IF(AND($T$155 = "Yes", 'Part IX A-Scoring Criteria'!$O$176 &gt; 0),'DCA Underwriting Assumptions'!$R$13, IF(AND('Part IV-Uses of Funds'!$T$156="Yes", 'Part IX A-Scoring Criteria'!$O$74&gt;0),'DCA Underwriting Assumptions'!$R$12, 'DCA Underwriting Assumptions'!$R$11))</f>
        <v>7598820</v>
      </c>
      <c r="E125" s="1305"/>
      <c r="F125" s="461" t="s">
        <v>1038</v>
      </c>
      <c r="G125" s="1268">
        <f>G123/'Part VI-Revenues &amp; Expenses'!$M$63</f>
        <v>126647.00432087916</v>
      </c>
      <c r="H125" s="1269"/>
      <c r="I125" s="543"/>
      <c r="J125" s="465" t="s">
        <v>1039</v>
      </c>
      <c r="M125" s="1268">
        <f>G123/'Part VI-Revenues &amp; Expenses'!$M$98</f>
        <v>194.84154510904486</v>
      </c>
      <c r="N125" s="1269"/>
    </row>
    <row r="126" spans="1:21" s="458" customFormat="1">
      <c r="I126" s="543"/>
      <c r="L126" s="543"/>
    </row>
    <row r="127" spans="1:21" s="458" customFormat="1" ht="13.5" thickBot="1">
      <c r="D127" s="713"/>
      <c r="E127" s="713"/>
      <c r="I127" s="538"/>
      <c r="J127" s="538"/>
      <c r="K127" s="544"/>
      <c r="L127" s="464"/>
      <c r="P127" s="721"/>
    </row>
    <row r="128" spans="1:21" s="458" customFormat="1">
      <c r="A128" s="406" t="s">
        <v>1229</v>
      </c>
      <c r="B128" s="408" t="s">
        <v>2145</v>
      </c>
      <c r="C128" s="459"/>
      <c r="D128" s="732"/>
      <c r="E128" s="732"/>
      <c r="G128" s="721"/>
      <c r="H128" s="721"/>
      <c r="I128" s="545"/>
      <c r="J128" s="1223" t="s">
        <v>359</v>
      </c>
      <c r="K128" s="1224"/>
      <c r="M128" s="1223" t="s">
        <v>114</v>
      </c>
      <c r="N128" s="1224"/>
      <c r="P128" s="1223" t="s">
        <v>360</v>
      </c>
      <c r="Q128" s="1224"/>
    </row>
    <row r="129" spans="2:17" s="458" customFormat="1" ht="13.5" thickBot="1">
      <c r="B129" s="465" t="s">
        <v>3136</v>
      </c>
      <c r="D129" s="732"/>
      <c r="E129" s="732"/>
      <c r="I129" s="545"/>
      <c r="J129" s="1225"/>
      <c r="K129" s="1226"/>
      <c r="L129" s="459"/>
      <c r="M129" s="1225"/>
      <c r="N129" s="1226"/>
      <c r="P129" s="1225"/>
      <c r="Q129" s="1226"/>
    </row>
    <row r="130" spans="2:17" s="458" customFormat="1">
      <c r="D130" s="713"/>
      <c r="E130" s="713"/>
      <c r="I130" s="538"/>
      <c r="J130" s="538"/>
      <c r="K130" s="544"/>
      <c r="L130" s="464"/>
      <c r="P130" s="721"/>
    </row>
    <row r="131" spans="2:17" s="458" customFormat="1">
      <c r="B131" s="713" t="s">
        <v>185</v>
      </c>
      <c r="D131" s="721"/>
      <c r="E131" s="721"/>
      <c r="F131" s="721"/>
      <c r="G131" s="721"/>
      <c r="H131" s="721"/>
      <c r="I131" s="545"/>
      <c r="J131" s="1263"/>
      <c r="K131" s="1264"/>
      <c r="P131" s="1263"/>
      <c r="Q131" s="1264"/>
    </row>
    <row r="132" spans="2:17" s="458" customFormat="1">
      <c r="B132" s="721" t="s">
        <v>3256</v>
      </c>
      <c r="D132" s="721"/>
      <c r="E132" s="721"/>
      <c r="F132" s="721"/>
      <c r="G132" s="721"/>
      <c r="H132" s="721"/>
      <c r="I132" s="545"/>
      <c r="J132" s="1263"/>
      <c r="K132" s="1264"/>
      <c r="P132" s="1263"/>
      <c r="Q132" s="1264"/>
    </row>
    <row r="133" spans="2:17" s="458" customFormat="1">
      <c r="B133" s="721" t="s">
        <v>2918</v>
      </c>
      <c r="D133" s="721"/>
      <c r="E133" s="721"/>
      <c r="I133" s="545"/>
      <c r="J133" s="1263"/>
      <c r="K133" s="1264"/>
      <c r="P133" s="1263"/>
      <c r="Q133" s="1264"/>
    </row>
    <row r="134" spans="2:17" s="458" customFormat="1">
      <c r="B134" s="721" t="s">
        <v>2919</v>
      </c>
      <c r="D134" s="721"/>
      <c r="E134" s="721"/>
      <c r="I134" s="545"/>
      <c r="J134" s="1263"/>
      <c r="K134" s="1264"/>
      <c r="P134" s="1263"/>
      <c r="Q134" s="1264"/>
    </row>
    <row r="135" spans="2:17" s="458" customFormat="1">
      <c r="B135" s="721" t="s">
        <v>329</v>
      </c>
      <c r="D135" s="721"/>
      <c r="E135" s="721"/>
      <c r="I135" s="545"/>
      <c r="J135" s="1263"/>
      <c r="K135" s="1264"/>
      <c r="P135" s="1263"/>
      <c r="Q135" s="1264"/>
    </row>
    <row r="136" spans="2:17" s="458" customFormat="1" ht="13.5" thickBot="1">
      <c r="B136" s="721" t="s">
        <v>2363</v>
      </c>
      <c r="C136" s="997" t="s">
        <v>3660</v>
      </c>
      <c r="D136" s="997"/>
      <c r="E136" s="997"/>
      <c r="F136" s="997"/>
      <c r="G136" s="997"/>
      <c r="H136" s="997"/>
      <c r="I136" s="998"/>
      <c r="J136" s="1263"/>
      <c r="K136" s="1264"/>
      <c r="P136" s="1263"/>
      <c r="Q136" s="1264"/>
    </row>
    <row r="137" spans="2:17" s="458" customFormat="1" ht="13.5" thickBot="1">
      <c r="B137" s="470" t="s">
        <v>2920</v>
      </c>
      <c r="C137" s="473"/>
      <c r="J137" s="1177">
        <f>SUM(J131:K136)</f>
        <v>0</v>
      </c>
      <c r="K137" s="1178"/>
      <c r="P137" s="1177">
        <f>SUM(P131:Q136)</f>
        <v>0</v>
      </c>
      <c r="Q137" s="1178"/>
    </row>
    <row r="138" spans="2:17" s="458" customFormat="1"/>
    <row r="139" spans="2:17" s="458" customFormat="1" ht="13.5" thickBot="1">
      <c r="B139" s="461" t="s">
        <v>3488</v>
      </c>
    </row>
    <row r="140" spans="2:17" s="458" customFormat="1">
      <c r="B140" s="458" t="s">
        <v>2821</v>
      </c>
      <c r="J140" s="1250">
        <f>J123</f>
        <v>6191006.9847609997</v>
      </c>
      <c r="K140" s="1251"/>
      <c r="M140" s="1266">
        <f>M123</f>
        <v>0</v>
      </c>
      <c r="N140" s="1267"/>
      <c r="P140" s="1250">
        <f>P123</f>
        <v>0</v>
      </c>
      <c r="Q140" s="1251"/>
    </row>
    <row r="141" spans="2:17" s="458" customFormat="1">
      <c r="B141" s="458" t="s">
        <v>3344</v>
      </c>
      <c r="J141" s="1252">
        <f>J137</f>
        <v>0</v>
      </c>
      <c r="K141" s="1253"/>
      <c r="M141" s="1258"/>
      <c r="N141" s="1258"/>
      <c r="P141" s="1252">
        <f>P137</f>
        <v>0</v>
      </c>
      <c r="Q141" s="1253"/>
    </row>
    <row r="142" spans="2:17" s="458" customFormat="1">
      <c r="B142" s="458" t="s">
        <v>3345</v>
      </c>
      <c r="J142" s="1252">
        <f>J140-J141</f>
        <v>6191006.9847609997</v>
      </c>
      <c r="K142" s="1253"/>
      <c r="M142" s="1252">
        <f>M140</f>
        <v>0</v>
      </c>
      <c r="N142" s="1253"/>
      <c r="P142" s="1252">
        <f>P140-P141</f>
        <v>0</v>
      </c>
      <c r="Q142" s="1253"/>
    </row>
    <row r="143" spans="2:17" s="458" customFormat="1">
      <c r="B143" s="458" t="s">
        <v>2228</v>
      </c>
      <c r="G143" s="717" t="s">
        <v>2734</v>
      </c>
      <c r="H143" s="1173" t="s">
        <v>3967</v>
      </c>
      <c r="I143" s="1174"/>
      <c r="J143" s="1248">
        <v>1.3</v>
      </c>
      <c r="K143" s="1249"/>
      <c r="M143" s="1265"/>
      <c r="N143" s="1265"/>
      <c r="P143" s="1248"/>
      <c r="Q143" s="1249"/>
    </row>
    <row r="144" spans="2:17" s="458" customFormat="1">
      <c r="B144" s="458" t="s">
        <v>3150</v>
      </c>
      <c r="J144" s="1252">
        <f>J142*J143</f>
        <v>8048309.0801892998</v>
      </c>
      <c r="K144" s="1253"/>
      <c r="M144" s="1252">
        <f>+M142</f>
        <v>0</v>
      </c>
      <c r="N144" s="1253"/>
      <c r="P144" s="1252">
        <f>P142*P143</f>
        <v>0</v>
      </c>
      <c r="Q144" s="1253"/>
    </row>
    <row r="145" spans="1:20" s="458" customFormat="1">
      <c r="B145" s="458" t="s">
        <v>3840</v>
      </c>
      <c r="J145" s="1216">
        <f>MIN('Part VI-Revenues &amp; Expenses'!$M$59/'Part VI-Revenues &amp; Expenses'!$M$61,'Part VI-Revenues &amp; Expenses'!$M$94/'Part VI-Revenues &amp; Expenses'!$M$96)</f>
        <v>1</v>
      </c>
      <c r="K145" s="1217"/>
      <c r="M145" s="1216">
        <f>MIN('Part VI-Revenues &amp; Expenses'!$M$59/'Part VI-Revenues &amp; Expenses'!$M$61,'Part VI-Revenues &amp; Expenses'!$M$94/'Part VI-Revenues &amp; Expenses'!$M$96)</f>
        <v>1</v>
      </c>
      <c r="N145" s="1217"/>
      <c r="P145" s="1216">
        <f>MIN('Part VI-Revenues &amp; Expenses'!$M$59/'Part VI-Revenues &amp; Expenses'!$M$61,'Part VI-Revenues &amp; Expenses'!$M$94/'Part VI-Revenues &amp; Expenses'!$M$96)</f>
        <v>1</v>
      </c>
      <c r="Q145" s="1217"/>
    </row>
    <row r="146" spans="1:20" s="458" customFormat="1">
      <c r="B146" s="458" t="s">
        <v>3137</v>
      </c>
      <c r="J146" s="1252">
        <f>J144*J145</f>
        <v>8048309.0801892998</v>
      </c>
      <c r="K146" s="1253"/>
      <c r="M146" s="1252">
        <f>M144*M145</f>
        <v>0</v>
      </c>
      <c r="N146" s="1253"/>
      <c r="P146" s="1252">
        <f>P144*P145</f>
        <v>0</v>
      </c>
      <c r="Q146" s="1253"/>
    </row>
    <row r="147" spans="1:20" s="458" customFormat="1">
      <c r="B147" s="458" t="s">
        <v>3138</v>
      </c>
      <c r="J147" s="1248">
        <v>0.09</v>
      </c>
      <c r="K147" s="1249"/>
      <c r="M147" s="1248"/>
      <c r="N147" s="1249"/>
      <c r="P147" s="1248"/>
      <c r="Q147" s="1249"/>
    </row>
    <row r="148" spans="1:20" s="458" customFormat="1" ht="13.5" thickBot="1">
      <c r="B148" s="458" t="s">
        <v>3841</v>
      </c>
      <c r="J148" s="1259">
        <f>J146*J147</f>
        <v>724347.81721703697</v>
      </c>
      <c r="K148" s="1260"/>
      <c r="M148" s="1259">
        <f>M146*M147</f>
        <v>0</v>
      </c>
      <c r="N148" s="1260"/>
      <c r="P148" s="1259">
        <f>P146*P147</f>
        <v>0</v>
      </c>
      <c r="Q148" s="1260"/>
    </row>
    <row r="149" spans="1:20" s="458" customFormat="1" ht="13.5" thickBot="1">
      <c r="B149" s="458" t="s">
        <v>2143</v>
      </c>
      <c r="J149" s="1177">
        <f>J148+M148+P148</f>
        <v>724347.81721703697</v>
      </c>
      <c r="K149" s="1257"/>
      <c r="L149" s="1257"/>
      <c r="M149" s="1257"/>
      <c r="N149" s="1257"/>
      <c r="O149" s="1257"/>
      <c r="P149" s="1257"/>
      <c r="Q149" s="1178"/>
    </row>
    <row r="150" spans="1:20" s="458" customFormat="1" ht="13.5" thickBot="1">
      <c r="B150" s="546"/>
      <c r="L150" s="547"/>
      <c r="M150" s="547"/>
      <c r="N150" s="547"/>
      <c r="O150" s="547"/>
    </row>
    <row r="151" spans="1:20" s="458" customFormat="1" ht="15.75">
      <c r="A151" s="461" t="s">
        <v>1231</v>
      </c>
      <c r="B151" s="461" t="s">
        <v>2146</v>
      </c>
      <c r="I151" s="721"/>
      <c r="J151" s="1262" t="s">
        <v>345</v>
      </c>
      <c r="K151" s="1262"/>
      <c r="L151" s="1262"/>
      <c r="M151" s="1306" t="str">
        <f>IF(J153&gt;D125,"TDC exceeds PUCL!","")</f>
        <v/>
      </c>
      <c r="N151" s="1307"/>
      <c r="O151" s="1307"/>
      <c r="P151" s="1307"/>
      <c r="Q151" s="1307"/>
      <c r="R151" s="1308"/>
      <c r="S151" s="1274" t="s">
        <v>2650</v>
      </c>
      <c r="T151" s="1275"/>
    </row>
    <row r="152" spans="1:20" s="458" customFormat="1" ht="13.5">
      <c r="B152" s="461" t="s">
        <v>231</v>
      </c>
      <c r="I152" s="721"/>
      <c r="J152" s="1261">
        <f>MIN(G123,D125)</f>
        <v>7598820</v>
      </c>
      <c r="K152" s="1261"/>
      <c r="L152" s="1261"/>
      <c r="M152" s="1309" t="s">
        <v>3645</v>
      </c>
      <c r="N152" s="1310"/>
      <c r="O152" s="1310"/>
      <c r="P152" s="1310"/>
      <c r="Q152" s="1310"/>
      <c r="R152" s="1311"/>
      <c r="S152" s="1276"/>
      <c r="T152" s="1277"/>
    </row>
    <row r="153" spans="1:20" s="458" customFormat="1">
      <c r="B153" s="458" t="s">
        <v>2649</v>
      </c>
      <c r="J153" s="1254">
        <v>7598820</v>
      </c>
      <c r="K153" s="1255"/>
      <c r="L153" s="1256"/>
      <c r="M153" s="1309"/>
      <c r="N153" s="1310"/>
      <c r="O153" s="1310"/>
      <c r="P153" s="1310"/>
      <c r="Q153" s="1310"/>
      <c r="R153" s="1311"/>
      <c r="S153" s="1276"/>
      <c r="T153" s="1277"/>
    </row>
    <row r="154" spans="1:20" s="458" customFormat="1">
      <c r="B154" s="458" t="s">
        <v>341</v>
      </c>
      <c r="J154" s="1252">
        <f>'Part III A-Sources of Funds'!$H$49-'Part III A-Sources of Funds'!$H$37-'Part III A-Sources of Funds'!$H$40-'Part III A-Sources of Funds'!$H$41</f>
        <v>500000</v>
      </c>
      <c r="K154" s="1258"/>
      <c r="L154" s="1258"/>
      <c r="M154" s="1309"/>
      <c r="N154" s="1310"/>
      <c r="O154" s="1310"/>
      <c r="P154" s="1310"/>
      <c r="Q154" s="1310"/>
      <c r="R154" s="1311"/>
      <c r="S154" s="685"/>
      <c r="T154" s="688" t="s">
        <v>344</v>
      </c>
    </row>
    <row r="155" spans="1:20" s="458" customFormat="1" ht="13.5">
      <c r="B155" s="458" t="s">
        <v>3357</v>
      </c>
      <c r="J155" s="1252">
        <f>+J153-J154</f>
        <v>7098820</v>
      </c>
      <c r="K155" s="1258"/>
      <c r="L155" s="1258"/>
      <c r="M155" s="1283" t="s">
        <v>342</v>
      </c>
      <c r="N155" s="1262"/>
      <c r="O155" s="1262" t="s">
        <v>2652</v>
      </c>
      <c r="P155" s="1262"/>
      <c r="Q155" s="1262"/>
      <c r="R155" s="1288"/>
      <c r="S155" s="686" t="s">
        <v>2651</v>
      </c>
      <c r="T155" s="870"/>
    </row>
    <row r="156" spans="1:20" s="458" customFormat="1" ht="14.25" thickBot="1">
      <c r="B156" s="458" t="s">
        <v>1986</v>
      </c>
      <c r="J156" s="1295" t="str">
        <f>"/ 10"</f>
        <v>/ 10</v>
      </c>
      <c r="K156" s="1295"/>
      <c r="L156" s="1295"/>
      <c r="M156" s="1284"/>
      <c r="N156" s="1285"/>
      <c r="O156" s="1286"/>
      <c r="P156" s="1286"/>
      <c r="Q156" s="1286"/>
      <c r="R156" s="1287"/>
      <c r="S156" s="687" t="s">
        <v>343</v>
      </c>
      <c r="T156" s="871"/>
    </row>
    <row r="157" spans="1:20" s="458" customFormat="1">
      <c r="B157" s="458" t="s">
        <v>1987</v>
      </c>
      <c r="J157" s="1252">
        <f>J155/10</f>
        <v>709882</v>
      </c>
      <c r="K157" s="1258"/>
      <c r="L157" s="1253"/>
      <c r="M157" s="482"/>
      <c r="N157" s="989" t="s">
        <v>1988</v>
      </c>
      <c r="O157" s="989"/>
      <c r="Q157" s="989" t="s">
        <v>2830</v>
      </c>
      <c r="R157" s="989"/>
    </row>
    <row r="158" spans="1:20" s="458" customFormat="1" ht="13.5" thickBot="1">
      <c r="B158" s="458" t="s">
        <v>2227</v>
      </c>
      <c r="J158" s="1278">
        <f>N158+Q158</f>
        <v>1</v>
      </c>
      <c r="K158" s="1279"/>
      <c r="L158" s="1280"/>
      <c r="M158" s="717" t="s">
        <v>1989</v>
      </c>
      <c r="N158" s="1281">
        <v>0.75</v>
      </c>
      <c r="O158" s="1282"/>
      <c r="P158" s="717" t="s">
        <v>945</v>
      </c>
      <c r="Q158" s="1281">
        <v>0.25</v>
      </c>
      <c r="R158" s="1282"/>
    </row>
    <row r="159" spans="1:20" s="458" customFormat="1" ht="13.5" thickBot="1">
      <c r="B159" s="458" t="s">
        <v>2144</v>
      </c>
      <c r="J159" s="1177">
        <f>IF(J158=0,"",J157/J158)</f>
        <v>709882</v>
      </c>
      <c r="K159" s="1257"/>
      <c r="L159" s="1178"/>
      <c r="M159" s="482"/>
      <c r="N159" s="721"/>
      <c r="O159" s="721"/>
    </row>
    <row r="160" spans="1:20" s="458" customFormat="1">
      <c r="J160" s="548"/>
      <c r="K160" s="548"/>
      <c r="L160" s="548"/>
      <c r="M160" s="482"/>
      <c r="N160" s="723"/>
      <c r="O160" s="723"/>
    </row>
    <row r="161" spans="1:20" s="458" customFormat="1">
      <c r="B161" s="461" t="s">
        <v>447</v>
      </c>
      <c r="J161" s="1289">
        <f>+MIN(J149,J159,'DCA Underwriting Assumptions'!$R$6)</f>
        <v>709882</v>
      </c>
      <c r="K161" s="1290"/>
      <c r="L161" s="1291"/>
      <c r="M161" s="482"/>
      <c r="N161" s="723"/>
      <c r="O161" s="723"/>
    </row>
    <row r="162" spans="1:20" s="458" customFormat="1">
      <c r="J162" s="548"/>
      <c r="K162" s="548"/>
      <c r="L162" s="548"/>
      <c r="M162" s="482"/>
      <c r="N162" s="723"/>
      <c r="O162" s="723"/>
    </row>
    <row r="163" spans="1:20" s="458" customFormat="1">
      <c r="B163" s="461" t="s">
        <v>448</v>
      </c>
      <c r="J163" s="1292">
        <v>709882</v>
      </c>
      <c r="K163" s="1293"/>
      <c r="L163" s="1294"/>
      <c r="M163" s="549" t="str">
        <f>IF(J163&gt;J161,"ALLOCATION CANNOT EXCEED MAXIMUM - REVISE ALLOCATION!","")</f>
        <v/>
      </c>
      <c r="N163" s="723"/>
      <c r="O163" s="723"/>
    </row>
    <row r="164" spans="1:20" s="458" customFormat="1">
      <c r="J164" s="548"/>
      <c r="K164" s="548"/>
      <c r="L164" s="548"/>
      <c r="M164" s="482"/>
      <c r="N164" s="723"/>
      <c r="O164" s="723"/>
    </row>
    <row r="165" spans="1:20" s="458" customFormat="1">
      <c r="A165" s="461" t="s">
        <v>2823</v>
      </c>
      <c r="B165" s="461" t="s">
        <v>449</v>
      </c>
      <c r="D165" s="482"/>
      <c r="E165" s="482"/>
      <c r="F165" s="464"/>
      <c r="J165" s="1289">
        <f>+MIN(J161,J163)</f>
        <v>709882</v>
      </c>
      <c r="K165" s="1290"/>
      <c r="L165" s="1291"/>
      <c r="N165" s="872"/>
      <c r="O165" s="872"/>
      <c r="P165" s="872"/>
      <c r="Q165" s="872"/>
      <c r="R165" s="872"/>
      <c r="S165" s="872"/>
      <c r="T165" s="872"/>
    </row>
    <row r="168" spans="1:20">
      <c r="A168" s="461" t="s">
        <v>2825</v>
      </c>
      <c r="B168" s="491" t="s">
        <v>879</v>
      </c>
      <c r="K168" s="461" t="s">
        <v>822</v>
      </c>
      <c r="L168" s="461" t="s">
        <v>89</v>
      </c>
    </row>
    <row r="169" spans="1:20" ht="13.5">
      <c r="A169" s="1270" t="s">
        <v>4067</v>
      </c>
      <c r="B169" s="1271"/>
      <c r="C169" s="1271"/>
      <c r="D169" s="1271"/>
      <c r="E169" s="1271"/>
      <c r="F169" s="1271"/>
      <c r="G169" s="1271"/>
      <c r="H169" s="1271"/>
      <c r="I169" s="1271"/>
      <c r="J169" s="1272"/>
      <c r="K169" s="1273"/>
      <c r="L169" s="1271"/>
      <c r="M169" s="1271"/>
      <c r="N169" s="1271"/>
      <c r="O169" s="1271"/>
      <c r="P169" s="1271"/>
      <c r="Q169" s="1271"/>
      <c r="R169" s="1271"/>
      <c r="S169" s="1271"/>
      <c r="T169" s="1272"/>
    </row>
    <row r="170" spans="1:20" ht="13.5">
      <c r="A170" s="1300" t="s">
        <v>3980</v>
      </c>
      <c r="B170" s="1301"/>
      <c r="C170" s="1301"/>
      <c r="D170" s="1301"/>
      <c r="E170" s="1301"/>
      <c r="F170" s="1301"/>
      <c r="G170" s="1301"/>
      <c r="H170" s="1301"/>
      <c r="I170" s="1301"/>
      <c r="J170" s="1302"/>
      <c r="K170" s="1303"/>
      <c r="L170" s="1301"/>
      <c r="M170" s="1301"/>
      <c r="N170" s="1301"/>
      <c r="O170" s="1301"/>
      <c r="P170" s="1301"/>
      <c r="Q170" s="1301"/>
      <c r="R170" s="1301"/>
      <c r="S170" s="1301"/>
      <c r="T170" s="1302"/>
    </row>
    <row r="171" spans="1:20" s="458" customFormat="1" ht="13.5">
      <c r="A171" s="1300"/>
      <c r="B171" s="1301"/>
      <c r="C171" s="1301"/>
      <c r="D171" s="1301"/>
      <c r="E171" s="1301"/>
      <c r="F171" s="1301"/>
      <c r="G171" s="1301"/>
      <c r="H171" s="1301"/>
      <c r="I171" s="1301"/>
      <c r="J171" s="1302"/>
      <c r="K171" s="1303"/>
      <c r="L171" s="1301"/>
      <c r="M171" s="1301"/>
      <c r="N171" s="1301"/>
      <c r="O171" s="1301"/>
      <c r="P171" s="1301"/>
      <c r="Q171" s="1301"/>
      <c r="R171" s="1301"/>
      <c r="S171" s="1301"/>
      <c r="T171" s="1302"/>
    </row>
    <row r="172" spans="1:20" ht="13.5">
      <c r="A172" s="1296"/>
      <c r="B172" s="1297"/>
      <c r="C172" s="1297"/>
      <c r="D172" s="1297"/>
      <c r="E172" s="1297"/>
      <c r="F172" s="1297"/>
      <c r="G172" s="1297"/>
      <c r="H172" s="1297"/>
      <c r="I172" s="1297"/>
      <c r="J172" s="1298"/>
      <c r="K172" s="1299"/>
      <c r="L172" s="1297"/>
      <c r="M172" s="1297"/>
      <c r="N172" s="1297"/>
      <c r="O172" s="1297"/>
      <c r="P172" s="1297"/>
      <c r="Q172" s="1297"/>
      <c r="R172" s="1297"/>
      <c r="S172" s="1297"/>
      <c r="T172" s="1298"/>
    </row>
    <row r="177" spans="1:1" s="458" customFormat="1"/>
    <row r="178" spans="1:1" s="458" customFormat="1"/>
    <row r="179" spans="1:1" s="458" customFormat="1"/>
    <row r="181" spans="1:1" s="458" customFormat="1">
      <c r="A181" s="465"/>
    </row>
    <row r="183" spans="1:1" s="458" customFormat="1"/>
    <row r="184" spans="1:1" s="458" customFormat="1">
      <c r="A184" s="465"/>
    </row>
    <row r="185" spans="1:1" s="458" customFormat="1">
      <c r="A185" s="733"/>
    </row>
    <row r="186" spans="1:1" s="458" customFormat="1"/>
    <row r="187" spans="1:1" s="458" customFormat="1">
      <c r="A187" s="508"/>
    </row>
    <row r="188" spans="1:1" s="458" customFormat="1">
      <c r="A188" s="508"/>
    </row>
    <row r="189" spans="1:1" s="458" customFormat="1">
      <c r="A189" s="508"/>
    </row>
    <row r="190" spans="1:1" s="458" customFormat="1"/>
    <row r="191" spans="1:1" s="458" customFormat="1"/>
    <row r="200" s="458" customForma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J152">
    <cfRule type="cellIs" dxfId="7" priority="4" stopIfTrue="1" operator="lessThan">
      <formula>$J$153</formula>
    </cfRule>
  </conditionalFormatting>
  <conditionalFormatting sqref="J165:L165">
    <cfRule type="cellIs" dxfId="6" priority="5" stopIfTrue="1" operator="greaterThan">
      <formula>$J$161</formula>
    </cfRule>
  </conditionalFormatting>
  <conditionalFormatting sqref="G33">
    <cfRule type="cellIs" priority="7" stopIfTrue="1" operator="equal">
      <formula>"""Exceeds the limit! Re-check amounts."""</formula>
    </cfRule>
  </conditionalFormatting>
  <conditionalFormatting sqref="J153:L153">
    <cfRule type="cellIs" dxfId="5" priority="8" stopIfTrue="1" operator="greaterThan">
      <formula>$J$152</formula>
    </cfRule>
  </conditionalFormatting>
  <conditionalFormatting sqref="G34">
    <cfRule type="cellIs" dxfId="4" priority="1" stopIfTrue="1" operator="greaterThan">
      <formula>$F34</formula>
    </cfRule>
  </conditionalFormatting>
  <conditionalFormatting sqref="G35">
    <cfRule type="cellIs" dxfId="3" priority="2"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5" manualBreakCount="5">
    <brk id="40" max="19" man="1"/>
    <brk id="74" max="19" man="1"/>
    <brk id="109" max="19" man="1"/>
    <brk id="127" max="19" man="1"/>
    <brk id="165" max="19"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A192"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1335" t="str">
        <f>CONCATENATE("PART FIVE - UTILITY ALLOWANCES","  -  ",'Part I-Project Information'!$O$4," ",'Part I-Project Information'!$F$22,", ",'Part I-Project Information'!F24,", ",'Part I-Project Information'!J25," County")</f>
        <v>PART FIVE - UTILITY ALLOWANCES  -  2011-012 Veteran Senior Housing - Assisted Living, Decatur, DeKalb County</v>
      </c>
      <c r="B1" s="1336"/>
      <c r="C1" s="1336"/>
      <c r="D1" s="1336"/>
      <c r="E1" s="1336"/>
      <c r="F1" s="1336"/>
      <c r="G1" s="1336"/>
      <c r="H1" s="1336"/>
      <c r="I1" s="1336"/>
      <c r="J1" s="1336"/>
      <c r="K1" s="1336"/>
      <c r="L1" s="1336"/>
      <c r="M1" s="1336"/>
      <c r="N1" s="11"/>
      <c r="O1" s="11"/>
      <c r="P1" s="11"/>
      <c r="Q1" s="11"/>
      <c r="R1" s="19"/>
      <c r="S1" s="19"/>
      <c r="T1" s="19"/>
    </row>
    <row r="2" spans="1:20" s="9" customFormat="1"/>
    <row r="3" spans="1:20" s="9" customFormat="1">
      <c r="F3" s="5" t="s">
        <v>806</v>
      </c>
      <c r="I3" s="741" t="str">
        <f>VLOOKUP('Part I-Project Information'!$J$25,'Part I-Project Information'!$C$183:$D$342,2)</f>
        <v>Middle</v>
      </c>
    </row>
    <row r="4" spans="1:20" s="9" customFormat="1"/>
    <row r="5" spans="1:20" s="9" customFormat="1">
      <c r="A5" s="16" t="s">
        <v>950</v>
      </c>
      <c r="B5" s="16" t="s">
        <v>3352</v>
      </c>
      <c r="F5" s="9" t="s">
        <v>3806</v>
      </c>
      <c r="I5" s="1337" t="s">
        <v>3963</v>
      </c>
      <c r="J5" s="1330"/>
      <c r="K5" s="1330"/>
      <c r="L5" s="1330"/>
      <c r="M5" s="1331"/>
    </row>
    <row r="6" spans="1:20" s="9" customFormat="1" ht="13.15" customHeight="1">
      <c r="A6" s="16"/>
      <c r="F6" s="9" t="s">
        <v>972</v>
      </c>
      <c r="H6" s="31"/>
      <c r="I6" s="1333">
        <v>40513</v>
      </c>
      <c r="J6" s="1334"/>
      <c r="K6" s="77" t="s">
        <v>833</v>
      </c>
      <c r="L6" s="1329" t="s">
        <v>3964</v>
      </c>
      <c r="M6" s="1331"/>
    </row>
    <row r="7" spans="1:20" s="9" customFormat="1" ht="6" customHeight="1">
      <c r="A7" s="16"/>
    </row>
    <row r="8" spans="1:20" s="16" customFormat="1">
      <c r="B8" s="337"/>
      <c r="C8" s="337"/>
      <c r="D8" s="337"/>
      <c r="E8" s="337"/>
      <c r="F8" s="1332" t="s">
        <v>942</v>
      </c>
      <c r="G8" s="1332"/>
      <c r="I8" s="1328" t="s">
        <v>258</v>
      </c>
      <c r="J8" s="1328"/>
      <c r="K8" s="1328"/>
      <c r="L8" s="1328"/>
      <c r="M8" s="1328"/>
    </row>
    <row r="9" spans="1:20" s="16" customFormat="1">
      <c r="B9" s="337" t="s">
        <v>1380</v>
      </c>
      <c r="D9" s="337" t="s">
        <v>2361</v>
      </c>
      <c r="F9" s="736" t="s">
        <v>978</v>
      </c>
      <c r="G9" s="736" t="s">
        <v>2904</v>
      </c>
      <c r="I9" s="338">
        <v>0</v>
      </c>
      <c r="J9" s="339">
        <v>1</v>
      </c>
      <c r="K9" s="339">
        <v>2</v>
      </c>
      <c r="L9" s="339">
        <v>3</v>
      </c>
      <c r="M9" s="339">
        <v>4</v>
      </c>
    </row>
    <row r="10" spans="1:20" s="9" customFormat="1">
      <c r="B10" s="340" t="s">
        <v>2906</v>
      </c>
      <c r="C10" s="341"/>
      <c r="D10" s="1318" t="s">
        <v>3965</v>
      </c>
      <c r="E10" s="1319"/>
      <c r="F10" s="860" t="s">
        <v>651</v>
      </c>
      <c r="G10" s="860"/>
      <c r="H10" s="342"/>
      <c r="I10" s="861"/>
      <c r="J10" s="861">
        <v>14</v>
      </c>
      <c r="K10" s="861"/>
      <c r="L10" s="861"/>
      <c r="M10" s="861"/>
    </row>
    <row r="11" spans="1:20" s="9" customFormat="1">
      <c r="B11" s="343" t="s">
        <v>686</v>
      </c>
      <c r="C11" s="344"/>
      <c r="D11" s="343" t="s">
        <v>2357</v>
      </c>
      <c r="E11" s="344"/>
      <c r="F11" s="862" t="s">
        <v>651</v>
      </c>
      <c r="G11" s="862"/>
      <c r="H11" s="345"/>
      <c r="I11" s="863"/>
      <c r="J11" s="863">
        <v>17</v>
      </c>
      <c r="K11" s="863"/>
      <c r="L11" s="864"/>
      <c r="M11" s="864"/>
    </row>
    <row r="12" spans="1:20" s="9" customFormat="1">
      <c r="B12" s="343" t="s">
        <v>2358</v>
      </c>
      <c r="C12" s="344"/>
      <c r="D12" s="1320" t="s">
        <v>2357</v>
      </c>
      <c r="E12" s="1321"/>
      <c r="F12" s="862" t="s">
        <v>651</v>
      </c>
      <c r="G12" s="862"/>
      <c r="H12" s="345"/>
      <c r="I12" s="863"/>
      <c r="J12" s="863">
        <v>9</v>
      </c>
      <c r="K12" s="863"/>
      <c r="L12" s="864"/>
      <c r="M12" s="864"/>
    </row>
    <row r="13" spans="1:20" s="9" customFormat="1">
      <c r="B13" s="343" t="s">
        <v>2359</v>
      </c>
      <c r="C13" s="344"/>
      <c r="D13" s="1320" t="s">
        <v>2357</v>
      </c>
      <c r="E13" s="1321"/>
      <c r="F13" s="862" t="s">
        <v>651</v>
      </c>
      <c r="G13" s="862"/>
      <c r="H13" s="345"/>
      <c r="I13" s="863"/>
      <c r="J13" s="863">
        <v>15</v>
      </c>
      <c r="K13" s="863"/>
      <c r="L13" s="864"/>
      <c r="M13" s="864"/>
    </row>
    <row r="14" spans="1:20" s="9" customFormat="1">
      <c r="B14" s="343" t="s">
        <v>2360</v>
      </c>
      <c r="C14" s="344"/>
      <c r="D14" s="343" t="s">
        <v>2357</v>
      </c>
      <c r="E14" s="346"/>
      <c r="F14" s="862" t="s">
        <v>651</v>
      </c>
      <c r="G14" s="862"/>
      <c r="H14" s="345"/>
      <c r="I14" s="863"/>
      <c r="J14" s="863">
        <v>28</v>
      </c>
      <c r="K14" s="863"/>
      <c r="L14" s="864"/>
      <c r="M14" s="864"/>
    </row>
    <row r="15" spans="1:20" s="9" customFormat="1">
      <c r="B15" s="343" t="s">
        <v>2072</v>
      </c>
      <c r="C15" s="344"/>
      <c r="D15" s="343" t="s">
        <v>3351</v>
      </c>
      <c r="E15" s="865" t="s">
        <v>3928</v>
      </c>
      <c r="F15" s="862" t="s">
        <v>651</v>
      </c>
      <c r="G15" s="862"/>
      <c r="H15" s="345"/>
      <c r="I15" s="863"/>
      <c r="J15" s="863">
        <v>6</v>
      </c>
      <c r="K15" s="863"/>
      <c r="L15" s="864"/>
      <c r="M15" s="864"/>
    </row>
    <row r="16" spans="1:20" s="9" customFormat="1">
      <c r="B16" s="347" t="s">
        <v>2905</v>
      </c>
      <c r="C16" s="348"/>
      <c r="D16" s="347"/>
      <c r="E16" s="315"/>
      <c r="F16" s="866" t="s">
        <v>651</v>
      </c>
      <c r="G16" s="866"/>
      <c r="H16" s="349"/>
      <c r="I16" s="867"/>
      <c r="J16" s="867">
        <v>24</v>
      </c>
      <c r="K16" s="867"/>
      <c r="L16" s="868"/>
      <c r="M16" s="868"/>
    </row>
    <row r="17" spans="1:19" s="9" customFormat="1">
      <c r="B17" s="337" t="s">
        <v>1640</v>
      </c>
      <c r="D17" s="31"/>
      <c r="E17" s="31"/>
      <c r="F17" s="111"/>
      <c r="G17" s="111"/>
      <c r="I17" s="736">
        <f>SUM(I10:I16)</f>
        <v>0</v>
      </c>
      <c r="J17" s="736">
        <f>SUM(J10:J16)</f>
        <v>113</v>
      </c>
      <c r="K17" s="736">
        <f>SUM(K10:K16)</f>
        <v>0</v>
      </c>
      <c r="L17" s="736">
        <f>SUM(L10:L16)</f>
        <v>0</v>
      </c>
      <c r="M17" s="736">
        <f>SUM(M10:M16)</f>
        <v>0</v>
      </c>
    </row>
    <row r="18" spans="1:19" s="9" customFormat="1" ht="11.25" customHeight="1">
      <c r="M18" s="31"/>
      <c r="N18" s="31"/>
      <c r="O18" s="31"/>
      <c r="P18" s="31"/>
      <c r="Q18" s="31"/>
      <c r="R18" s="31"/>
      <c r="S18" s="31"/>
    </row>
    <row r="19" spans="1:19" s="9" customFormat="1">
      <c r="A19" s="16" t="s">
        <v>1229</v>
      </c>
      <c r="B19" s="16" t="s">
        <v>3353</v>
      </c>
      <c r="F19" s="9" t="s">
        <v>3806</v>
      </c>
      <c r="I19" s="1329"/>
      <c r="J19" s="1330"/>
      <c r="K19" s="1330"/>
      <c r="L19" s="1330"/>
      <c r="M19" s="1331"/>
    </row>
    <row r="20" spans="1:19" s="9" customFormat="1" ht="13.15" customHeight="1">
      <c r="A20" s="16"/>
      <c r="B20" s="16"/>
      <c r="F20" s="9" t="s">
        <v>972</v>
      </c>
      <c r="H20" s="31"/>
      <c r="I20" s="1333"/>
      <c r="J20" s="1334"/>
      <c r="K20" s="77" t="s">
        <v>833</v>
      </c>
      <c r="L20" s="1329"/>
      <c r="M20" s="1331"/>
    </row>
    <row r="21" spans="1:19" s="9" customFormat="1" ht="6" customHeight="1">
      <c r="A21" s="16"/>
    </row>
    <row r="22" spans="1:19" s="16" customFormat="1">
      <c r="B22" s="337"/>
      <c r="C22" s="337"/>
      <c r="D22" s="337"/>
      <c r="E22" s="337"/>
      <c r="F22" s="1332" t="s">
        <v>942</v>
      </c>
      <c r="G22" s="1332"/>
      <c r="I22" s="1328" t="s">
        <v>258</v>
      </c>
      <c r="J22" s="1328"/>
      <c r="K22" s="1328"/>
      <c r="L22" s="1328"/>
      <c r="M22" s="1328"/>
    </row>
    <row r="23" spans="1:19" s="16" customFormat="1">
      <c r="B23" s="337" t="s">
        <v>1380</v>
      </c>
      <c r="D23" s="337" t="s">
        <v>2361</v>
      </c>
      <c r="F23" s="736" t="s">
        <v>978</v>
      </c>
      <c r="G23" s="736" t="s">
        <v>2904</v>
      </c>
      <c r="I23" s="338">
        <v>0</v>
      </c>
      <c r="J23" s="339">
        <v>1</v>
      </c>
      <c r="K23" s="339">
        <v>2</v>
      </c>
      <c r="L23" s="339">
        <v>3</v>
      </c>
      <c r="M23" s="339">
        <v>4</v>
      </c>
    </row>
    <row r="24" spans="1:19" s="9" customFormat="1">
      <c r="B24" s="340" t="s">
        <v>2906</v>
      </c>
      <c r="C24" s="341"/>
      <c r="D24" s="1318" t="s">
        <v>2861</v>
      </c>
      <c r="E24" s="1319"/>
      <c r="F24" s="860"/>
      <c r="G24" s="860"/>
      <c r="H24" s="342"/>
      <c r="I24" s="861"/>
      <c r="J24" s="861"/>
      <c r="K24" s="861"/>
      <c r="L24" s="861"/>
      <c r="M24" s="861"/>
    </row>
    <row r="25" spans="1:19" s="9" customFormat="1">
      <c r="B25" s="343" t="s">
        <v>686</v>
      </c>
      <c r="C25" s="344"/>
      <c r="D25" s="343" t="s">
        <v>2357</v>
      </c>
      <c r="E25" s="344"/>
      <c r="F25" s="862"/>
      <c r="G25" s="862"/>
      <c r="H25" s="345"/>
      <c r="I25" s="863"/>
      <c r="J25" s="863"/>
      <c r="K25" s="863"/>
      <c r="L25" s="864"/>
      <c r="M25" s="864"/>
    </row>
    <row r="26" spans="1:19" s="9" customFormat="1">
      <c r="B26" s="343" t="s">
        <v>2358</v>
      </c>
      <c r="C26" s="344"/>
      <c r="D26" s="1320" t="s">
        <v>2861</v>
      </c>
      <c r="E26" s="1321"/>
      <c r="F26" s="862"/>
      <c r="G26" s="862"/>
      <c r="H26" s="345"/>
      <c r="I26" s="863"/>
      <c r="J26" s="863"/>
      <c r="K26" s="863"/>
      <c r="L26" s="864"/>
      <c r="M26" s="864"/>
    </row>
    <row r="27" spans="1:19" s="9" customFormat="1">
      <c r="B27" s="343" t="s">
        <v>2359</v>
      </c>
      <c r="C27" s="344"/>
      <c r="D27" s="1320" t="s">
        <v>2861</v>
      </c>
      <c r="E27" s="1321"/>
      <c r="F27" s="862"/>
      <c r="G27" s="862"/>
      <c r="H27" s="345"/>
      <c r="I27" s="863"/>
      <c r="J27" s="863"/>
      <c r="K27" s="863"/>
      <c r="L27" s="864"/>
      <c r="M27" s="864"/>
    </row>
    <row r="28" spans="1:19" s="9" customFormat="1">
      <c r="B28" s="343" t="s">
        <v>2360</v>
      </c>
      <c r="C28" s="344"/>
      <c r="D28" s="343" t="s">
        <v>2357</v>
      </c>
      <c r="E28" s="346"/>
      <c r="F28" s="862"/>
      <c r="G28" s="862"/>
      <c r="H28" s="345"/>
      <c r="I28" s="863"/>
      <c r="J28" s="863"/>
      <c r="K28" s="863"/>
      <c r="L28" s="864"/>
      <c r="M28" s="864"/>
    </row>
    <row r="29" spans="1:19" s="9" customFormat="1">
      <c r="B29" s="343" t="s">
        <v>2072</v>
      </c>
      <c r="C29" s="344"/>
      <c r="D29" s="343" t="s">
        <v>3351</v>
      </c>
      <c r="E29" s="865" t="s">
        <v>259</v>
      </c>
      <c r="F29" s="862"/>
      <c r="G29" s="862"/>
      <c r="H29" s="345"/>
      <c r="I29" s="863"/>
      <c r="J29" s="863"/>
      <c r="K29" s="863"/>
      <c r="L29" s="864"/>
      <c r="M29" s="864"/>
    </row>
    <row r="30" spans="1:19" s="9" customFormat="1">
      <c r="B30" s="347" t="s">
        <v>2905</v>
      </c>
      <c r="C30" s="348"/>
      <c r="D30" s="347"/>
      <c r="E30" s="315"/>
      <c r="F30" s="866"/>
      <c r="G30" s="866"/>
      <c r="H30" s="349"/>
      <c r="I30" s="867"/>
      <c r="J30" s="867"/>
      <c r="K30" s="867"/>
      <c r="L30" s="868"/>
      <c r="M30" s="868"/>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22" t="s">
        <v>3981</v>
      </c>
      <c r="C36" s="1323"/>
      <c r="D36" s="1323"/>
      <c r="E36" s="1323"/>
      <c r="F36" s="1323"/>
      <c r="G36" s="1323"/>
      <c r="H36" s="1323"/>
      <c r="I36" s="1323"/>
      <c r="J36" s="1323"/>
      <c r="K36" s="1323"/>
      <c r="L36" s="1323"/>
      <c r="M36" s="1324"/>
      <c r="N36" s="31"/>
      <c r="O36" s="31"/>
      <c r="P36" s="31"/>
      <c r="Q36" s="31"/>
      <c r="R36" s="31"/>
      <c r="S36" s="31"/>
    </row>
    <row r="37" spans="1:19" s="9" customFormat="1" ht="12" customHeight="1">
      <c r="B37" s="1325" t="s">
        <v>3982</v>
      </c>
      <c r="C37" s="1326"/>
      <c r="D37" s="1326"/>
      <c r="E37" s="1326"/>
      <c r="F37" s="1326"/>
      <c r="G37" s="1326"/>
      <c r="H37" s="1326"/>
      <c r="I37" s="1326"/>
      <c r="J37" s="1326"/>
      <c r="K37" s="1326"/>
      <c r="L37" s="1326"/>
      <c r="M37" s="1327"/>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12"/>
      <c r="C40" s="1313"/>
      <c r="D40" s="1313"/>
      <c r="E40" s="1313"/>
      <c r="F40" s="1313"/>
      <c r="G40" s="1313"/>
      <c r="H40" s="1313"/>
      <c r="I40" s="1313"/>
      <c r="J40" s="1313"/>
      <c r="K40" s="1313"/>
      <c r="L40" s="1313"/>
      <c r="M40" s="1314"/>
      <c r="N40" s="31"/>
      <c r="O40" s="31"/>
      <c r="P40" s="31"/>
      <c r="Q40" s="31"/>
      <c r="R40" s="31"/>
      <c r="S40" s="31"/>
    </row>
    <row r="41" spans="1:19" s="9" customFormat="1" ht="12" customHeight="1">
      <c r="B41" s="1315"/>
      <c r="C41" s="1316"/>
      <c r="D41" s="1316"/>
      <c r="E41" s="1316"/>
      <c r="F41" s="1316"/>
      <c r="G41" s="1316"/>
      <c r="H41" s="1316"/>
      <c r="I41" s="1316"/>
      <c r="J41" s="1316"/>
      <c r="K41" s="1316"/>
      <c r="L41" s="1316"/>
      <c r="M41" s="1317"/>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2011-06-22T19:17:49Z</cp:lastPrinted>
  <dcterms:created xsi:type="dcterms:W3CDTF">2005-09-15T20:51:37Z</dcterms:created>
  <dcterms:modified xsi:type="dcterms:W3CDTF">2011-08-12T13:41:21Z</dcterms:modified>
</cp:coreProperties>
</file>