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2" yWindow="-12" windowWidth="11472" windowHeight="9756"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B31" i="8"/>
  <c r="B32" i="3" l="1"/>
  <c r="P2751" i="35"/>
  <c r="H2603"/>
  <c r="Q2135"/>
  <c r="R1726"/>
  <c r="R1727"/>
  <c r="R1728"/>
  <c r="R1729"/>
  <c r="R1730"/>
  <c r="R1731"/>
  <c r="R1732"/>
  <c r="R1733"/>
  <c r="R1734"/>
  <c r="R1735"/>
  <c r="R1736"/>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c r="E128"/>
  <c r="D128"/>
  <c r="C128"/>
  <c r="B128"/>
  <c r="K93"/>
  <c r="J93"/>
  <c r="I93"/>
  <c r="H93"/>
  <c r="G93"/>
  <c r="F93"/>
  <c r="E93"/>
  <c r="D93"/>
  <c r="C93"/>
  <c r="B93"/>
  <c r="K58"/>
  <c r="J58"/>
  <c r="I58"/>
  <c r="H58"/>
  <c r="G58"/>
  <c r="F58"/>
  <c r="E58"/>
  <c r="D58"/>
  <c r="C58"/>
  <c r="B58"/>
  <c r="K23"/>
  <c r="J23"/>
  <c r="I23"/>
  <c r="H23"/>
  <c r="G23"/>
  <c r="F23"/>
  <c r="E23"/>
  <c r="D23"/>
  <c r="C23"/>
  <c r="B23"/>
  <c r="B41"/>
  <c r="C41"/>
  <c r="D41"/>
  <c r="E41"/>
  <c r="F41"/>
  <c r="G41"/>
  <c r="H41"/>
  <c r="I41"/>
  <c r="J41"/>
  <c r="K41"/>
  <c r="B76"/>
  <c r="C76"/>
  <c r="D76"/>
  <c r="E76"/>
  <c r="F76"/>
  <c r="G76"/>
  <c r="H76"/>
  <c r="I76"/>
  <c r="J76"/>
  <c r="K76"/>
  <c r="B111"/>
  <c r="C111"/>
  <c r="D111"/>
  <c r="E111"/>
  <c r="F111"/>
  <c r="G111"/>
  <c r="H111"/>
  <c r="I111"/>
  <c r="J111"/>
  <c r="K111"/>
  <c r="B146"/>
  <c r="C146"/>
  <c r="D146"/>
  <c r="E146"/>
  <c r="F146"/>
  <c r="F2034" i="35"/>
  <c r="E2034"/>
  <c r="D2034"/>
  <c r="C2034"/>
  <c r="B2034"/>
  <c r="K1999"/>
  <c r="J1999"/>
  <c r="I1999"/>
  <c r="H1999"/>
  <c r="G1999"/>
  <c r="F1999"/>
  <c r="E1999"/>
  <c r="D1999"/>
  <c r="C1999"/>
  <c r="B1999"/>
  <c r="K1964"/>
  <c r="J1964"/>
  <c r="I1964"/>
  <c r="H1964"/>
  <c r="G1964"/>
  <c r="F1964"/>
  <c r="E1964"/>
  <c r="D1964"/>
  <c r="C1964"/>
  <c r="B1964"/>
  <c r="C1929"/>
  <c r="D1929"/>
  <c r="E1929"/>
  <c r="F1929"/>
  <c r="G1929"/>
  <c r="H1929"/>
  <c r="I1929"/>
  <c r="J1929"/>
  <c r="K1929"/>
  <c r="B1929"/>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J1521"/>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J1513"/>
  <c r="J1523"/>
  <c r="J1528"/>
  <c r="J1532"/>
  <c r="J1552"/>
  <c r="J1564"/>
  <c r="J1570"/>
  <c r="J1579"/>
  <c r="J1605"/>
  <c r="J1613"/>
  <c r="J1617"/>
  <c r="J1619"/>
  <c r="J1636"/>
  <c r="J1633"/>
  <c r="J1637"/>
  <c r="J1638"/>
  <c r="J1640"/>
  <c r="M1513"/>
  <c r="M1519"/>
  <c r="M1523"/>
  <c r="M1528"/>
  <c r="M1532"/>
  <c r="M1552"/>
  <c r="M1564"/>
  <c r="M1570"/>
  <c r="M1579"/>
  <c r="M1605"/>
  <c r="M1613"/>
  <c r="M1617"/>
  <c r="M1619"/>
  <c r="M1636"/>
  <c r="M1638"/>
  <c r="M1640"/>
  <c r="P1513"/>
  <c r="P1523"/>
  <c r="P1528"/>
  <c r="P1532"/>
  <c r="P1552"/>
  <c r="P1564"/>
  <c r="P1570"/>
  <c r="P1579"/>
  <c r="P1605"/>
  <c r="P1613"/>
  <c r="P1617"/>
  <c r="P1619"/>
  <c r="P1636"/>
  <c r="P1633"/>
  <c r="P1637"/>
  <c r="P1638"/>
  <c r="P1640"/>
  <c r="J1654"/>
  <c r="H49" i="3"/>
  <c r="J1652" i="35"/>
  <c r="G1513"/>
  <c r="G1519"/>
  <c r="G1523"/>
  <c r="G1528"/>
  <c r="G1532"/>
  <c r="G1552"/>
  <c r="G1564"/>
  <c r="G1570"/>
  <c r="G1579"/>
  <c r="G1594"/>
  <c r="G1600"/>
  <c r="G1605"/>
  <c r="G1613"/>
  <c r="G1617"/>
  <c r="G1619"/>
  <c r="S1513"/>
  <c r="S1519"/>
  <c r="S1523"/>
  <c r="S1528"/>
  <c r="S1532"/>
  <c r="S1552"/>
  <c r="S1564"/>
  <c r="S1570"/>
  <c r="S1579"/>
  <c r="S1594"/>
  <c r="S1600"/>
  <c r="S1605"/>
  <c r="S1613"/>
  <c r="S1617"/>
  <c r="S1619"/>
  <c r="U1616"/>
  <c r="A1616"/>
  <c r="O1614"/>
  <c r="U1612"/>
  <c r="A1612"/>
  <c r="O1606"/>
  <c r="C1605"/>
  <c r="F1604"/>
  <c r="F1603"/>
  <c r="F1602"/>
  <c r="O1601"/>
  <c r="U1599"/>
  <c r="A1599"/>
  <c r="O1595"/>
  <c r="U1593"/>
  <c r="A1593"/>
  <c r="U1592"/>
  <c r="A1592"/>
  <c r="E1588"/>
  <c r="O1584"/>
  <c r="U1578"/>
  <c r="A1578"/>
  <c r="O1571"/>
  <c r="O1565"/>
  <c r="U1563"/>
  <c r="A1563"/>
  <c r="O1553"/>
  <c r="U1551"/>
  <c r="A1551"/>
  <c r="O1543"/>
  <c r="F1538"/>
  <c r="O1537"/>
  <c r="B1535"/>
  <c r="E1531"/>
  <c r="F1531"/>
  <c r="E1530"/>
  <c r="F1530"/>
  <c r="O1529"/>
  <c r="E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L2699"/>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F2509"/>
  <c r="G2504"/>
  <c r="G2503"/>
  <c r="G2502"/>
  <c r="A2493"/>
  <c r="O207" i="11"/>
  <c r="A2793" i="35"/>
  <c r="A2792"/>
  <c r="A2051"/>
  <c r="H205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E2013"/>
  <c r="D2013"/>
  <c r="C2013"/>
  <c r="B2013"/>
  <c r="F2017"/>
  <c r="E2017"/>
  <c r="D2017"/>
  <c r="C2017"/>
  <c r="B2017"/>
  <c r="A1962"/>
  <c r="A1997"/>
  <c r="A2032"/>
  <c r="A1961"/>
  <c r="A1996"/>
  <c r="A2031"/>
  <c r="A1925"/>
  <c r="A1960"/>
  <c r="A1995"/>
  <c r="A2030"/>
  <c r="A1924"/>
  <c r="A1959"/>
  <c r="A1994"/>
  <c r="A2029"/>
  <c r="F2028"/>
  <c r="E2028"/>
  <c r="D2028"/>
  <c r="C2028"/>
  <c r="B2028"/>
  <c r="A1923"/>
  <c r="A1958"/>
  <c r="A1993"/>
  <c r="A2028"/>
  <c r="F2027"/>
  <c r="E2027"/>
  <c r="D2027"/>
  <c r="C2027"/>
  <c r="B2027"/>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c r="D2007"/>
  <c r="D2015"/>
  <c r="D2026"/>
  <c r="C2007"/>
  <c r="C2015"/>
  <c r="C2026"/>
  <c r="B2007"/>
  <c r="B2015"/>
  <c r="B2026"/>
  <c r="A1951"/>
  <c r="A1986"/>
  <c r="A2021"/>
  <c r="A1950"/>
  <c r="A1985"/>
  <c r="A2020"/>
  <c r="A1914"/>
  <c r="A1949"/>
  <c r="A1984"/>
  <c r="A2019"/>
  <c r="A1913"/>
  <c r="A1948"/>
  <c r="A1983"/>
  <c r="A2018"/>
  <c r="A1912"/>
  <c r="A1947"/>
  <c r="A1982"/>
  <c r="A2017"/>
  <c r="A1911"/>
  <c r="A1946"/>
  <c r="A1981"/>
  <c r="A2016"/>
  <c r="F2014"/>
  <c r="E2014"/>
  <c r="D2014"/>
  <c r="C2014"/>
  <c r="B2014"/>
  <c r="F2012"/>
  <c r="F2033" s="1"/>
  <c r="E2012"/>
  <c r="E2033" s="1"/>
  <c r="D2012"/>
  <c r="D2033" s="1"/>
  <c r="C2012"/>
  <c r="C2033" s="1"/>
  <c r="B2012"/>
  <c r="B2033" s="1"/>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c r="J1972"/>
  <c r="J1980"/>
  <c r="J1991"/>
  <c r="I1972"/>
  <c r="I1980"/>
  <c r="I1991"/>
  <c r="H1972"/>
  <c r="H1980"/>
  <c r="H1991"/>
  <c r="G1972"/>
  <c r="G1980"/>
  <c r="G1991"/>
  <c r="F1972"/>
  <c r="F1980"/>
  <c r="F1991"/>
  <c r="E1972"/>
  <c r="E1980"/>
  <c r="E1991"/>
  <c r="D1972"/>
  <c r="D1980"/>
  <c r="D1991"/>
  <c r="C1972"/>
  <c r="C1980"/>
  <c r="C1991"/>
  <c r="B1972"/>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K1998" s="1"/>
  <c r="J1975"/>
  <c r="J1998" s="1"/>
  <c r="I1975"/>
  <c r="I1998" s="1"/>
  <c r="H1975"/>
  <c r="H1998" s="1"/>
  <c r="G1975"/>
  <c r="G1998" s="1"/>
  <c r="F1975"/>
  <c r="F1998" s="1"/>
  <c r="E1975"/>
  <c r="E1998" s="1"/>
  <c r="D1975"/>
  <c r="D1998" s="1"/>
  <c r="C1975"/>
  <c r="C1998" s="1"/>
  <c r="B1975"/>
  <c r="B1998" s="1"/>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5"/>
  <c r="K1956"/>
  <c r="J1937"/>
  <c r="J1945"/>
  <c r="J1956"/>
  <c r="I1937"/>
  <c r="I1945"/>
  <c r="I1956"/>
  <c r="H1937"/>
  <c r="H1945"/>
  <c r="H1956"/>
  <c r="G1937"/>
  <c r="G1945"/>
  <c r="G1956"/>
  <c r="F1937"/>
  <c r="F1945"/>
  <c r="F1956"/>
  <c r="E1937"/>
  <c r="E1945"/>
  <c r="E1956"/>
  <c r="D1937"/>
  <c r="D1945"/>
  <c r="D1956"/>
  <c r="C1937"/>
  <c r="C1945"/>
  <c r="C1956"/>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K1963" s="1"/>
  <c r="J1940"/>
  <c r="J1963" s="1"/>
  <c r="I1940"/>
  <c r="I1963" s="1"/>
  <c r="H1940"/>
  <c r="H1963" s="1"/>
  <c r="G1940"/>
  <c r="G1963" s="1"/>
  <c r="F1940"/>
  <c r="F1963" s="1"/>
  <c r="E1940"/>
  <c r="E1963" s="1"/>
  <c r="D1940"/>
  <c r="D1963" s="1"/>
  <c r="C1940"/>
  <c r="C1963" s="1"/>
  <c r="B1940"/>
  <c r="B1963" s="1"/>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10"/>
  <c r="K1921"/>
  <c r="J1902"/>
  <c r="J1910"/>
  <c r="J1921"/>
  <c r="I1902"/>
  <c r="I1910"/>
  <c r="I1921"/>
  <c r="H1902"/>
  <c r="H1910"/>
  <c r="H1921"/>
  <c r="G1902"/>
  <c r="G1910"/>
  <c r="G1921"/>
  <c r="F1902"/>
  <c r="F1910"/>
  <c r="F1921"/>
  <c r="E1902"/>
  <c r="E1910"/>
  <c r="E1921"/>
  <c r="D1902"/>
  <c r="D1910"/>
  <c r="D1921"/>
  <c r="C1902"/>
  <c r="C1910"/>
  <c r="C1921"/>
  <c r="B1902"/>
  <c r="B1903"/>
  <c r="B1904"/>
  <c r="B1905"/>
  <c r="B1906"/>
  <c r="B1907"/>
  <c r="B1909"/>
  <c r="B1910"/>
  <c r="K1909"/>
  <c r="J1909"/>
  <c r="I1909"/>
  <c r="H1909"/>
  <c r="G1909"/>
  <c r="F1909"/>
  <c r="E1909"/>
  <c r="D1909"/>
  <c r="C1909"/>
  <c r="K1907"/>
  <c r="J1907"/>
  <c r="I1907"/>
  <c r="H1907"/>
  <c r="G1907"/>
  <c r="F1907"/>
  <c r="E1907"/>
  <c r="D1907"/>
  <c r="C1907"/>
  <c r="K1906"/>
  <c r="J1906"/>
  <c r="I1906"/>
  <c r="H1906"/>
  <c r="G1906"/>
  <c r="F1906"/>
  <c r="E1906"/>
  <c r="D1906"/>
  <c r="C1906"/>
  <c r="K1905"/>
  <c r="K1928" s="1"/>
  <c r="J1905"/>
  <c r="J1928" s="1"/>
  <c r="I1905"/>
  <c r="I1928" s="1"/>
  <c r="H1905"/>
  <c r="H1928" s="1"/>
  <c r="G1905"/>
  <c r="G1928" s="1"/>
  <c r="F1905"/>
  <c r="F1928" s="1"/>
  <c r="E1905"/>
  <c r="E1928" s="1"/>
  <c r="D1905"/>
  <c r="D1928" s="1"/>
  <c r="C1905"/>
  <c r="C1928" s="1"/>
  <c r="K1903"/>
  <c r="K1904"/>
  <c r="J1903"/>
  <c r="J1904"/>
  <c r="I1903"/>
  <c r="I1904"/>
  <c r="H1903"/>
  <c r="H1904"/>
  <c r="G1903"/>
  <c r="G1904"/>
  <c r="F1903"/>
  <c r="F1904"/>
  <c r="E1903"/>
  <c r="E1904"/>
  <c r="D1903"/>
  <c r="D1904"/>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I1778"/>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Z1812"/>
  <c r="Z1813"/>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3"/>
  <c r="A1762"/>
  <c r="A1761"/>
  <c r="A1760"/>
  <c r="A1759"/>
  <c r="A1758"/>
  <c r="A1757"/>
  <c r="A1756"/>
  <c r="A1755"/>
  <c r="A1722"/>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75" i="11"/>
  <c r="O191"/>
  <c r="O199"/>
  <c r="O235"/>
  <c r="O227"/>
  <c r="O270"/>
  <c r="O279"/>
  <c r="G109" i="15"/>
  <c r="D37" i="3"/>
  <c r="D390" i="35"/>
  <c r="C109" i="15"/>
  <c r="F108"/>
  <c r="J25" i="7"/>
  <c r="J54" i="35"/>
  <c r="I3" i="29"/>
  <c r="I17"/>
  <c r="J117" i="15"/>
  <c r="J17"/>
  <c r="J27"/>
  <c r="J32"/>
  <c r="J36"/>
  <c r="J56"/>
  <c r="J68"/>
  <c r="J74"/>
  <c r="J83"/>
  <c r="J109"/>
  <c r="J121"/>
  <c r="J123"/>
  <c r="J140"/>
  <c r="J137"/>
  <c r="J141"/>
  <c r="J142"/>
  <c r="J144"/>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L207" i="11"/>
  <c r="G117" i="15"/>
  <c r="G17"/>
  <c r="G23"/>
  <c r="G27"/>
  <c r="G32"/>
  <c r="G36"/>
  <c r="G56"/>
  <c r="G68"/>
  <c r="G74"/>
  <c r="G83"/>
  <c r="G98"/>
  <c r="G104"/>
  <c r="G121"/>
  <c r="G123"/>
  <c r="H403" i="35"/>
  <c r="H50" i="3"/>
  <c r="S40"/>
  <c r="S41"/>
  <c r="S42"/>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I69"/>
  <c r="J69"/>
  <c r="K69"/>
  <c r="L69"/>
  <c r="H69"/>
  <c r="I70"/>
  <c r="J70"/>
  <c r="K70"/>
  <c r="L70"/>
  <c r="H70"/>
  <c r="Y71"/>
  <c r="Z71"/>
  <c r="AA71"/>
  <c r="AB71"/>
  <c r="AC71"/>
  <c r="AD71"/>
  <c r="H71"/>
  <c r="I71"/>
  <c r="J71"/>
  <c r="K71"/>
  <c r="L71"/>
  <c r="M71"/>
  <c r="Q71"/>
  <c r="AD70"/>
  <c r="M70"/>
  <c r="Q70"/>
  <c r="AD69"/>
  <c r="M69"/>
  <c r="Q69"/>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BG48"/>
  <c r="BF48"/>
  <c r="BE48"/>
  <c r="BD48"/>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c r="J158"/>
  <c r="E34"/>
  <c r="F34"/>
  <c r="E35"/>
  <c r="E33"/>
  <c r="S36"/>
  <c r="F35"/>
  <c r="L26" i="3"/>
  <c r="S17" i="15"/>
  <c r="S23"/>
  <c r="S27"/>
  <c r="S32"/>
  <c r="S56"/>
  <c r="S68"/>
  <c r="S74"/>
  <c r="S83"/>
  <c r="S98"/>
  <c r="S104"/>
  <c r="S109"/>
  <c r="S117"/>
  <c r="S121"/>
  <c r="S123"/>
  <c r="J26" i="7"/>
  <c r="O3" i="36"/>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H9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I9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J9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L97"/>
  <c r="M97"/>
  <c r="P81" i="35"/>
  <c r="P52" i="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Q15" s="1"/>
  <c r="Q1730" i="35" s="1"/>
  <c r="P1730"/>
  <c r="P16" i="36"/>
  <c r="Q16" s="1"/>
  <c r="Q1731" i="35" s="1"/>
  <c r="P1731"/>
  <c r="P17" i="36"/>
  <c r="Q17" s="1"/>
  <c r="Q1732" i="35" s="1"/>
  <c r="P1732"/>
  <c r="P18" i="36"/>
  <c r="Q18" s="1"/>
  <c r="Q1733" i="35" s="1"/>
  <c r="P1733"/>
  <c r="P19" i="36"/>
  <c r="Q19" s="1"/>
  <c r="Q1734" i="35" s="1"/>
  <c r="P1734"/>
  <c r="P20" i="36"/>
  <c r="Q20" s="1"/>
  <c r="Q1735" i="35" s="1"/>
  <c r="P1735"/>
  <c r="P21" i="36"/>
  <c r="Q21" s="1"/>
  <c r="Q1736" i="35" s="1"/>
  <c r="P1736"/>
  <c r="P22" i="36"/>
  <c r="Q22" s="1"/>
  <c r="Q1737" i="35" s="1"/>
  <c r="P1737"/>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Q11" s="1"/>
  <c r="Q1726" i="35" s="1"/>
  <c r="P1726"/>
  <c r="P12" i="36"/>
  <c r="Q12" s="1"/>
  <c r="Q1727" i="35" s="1"/>
  <c r="P1727"/>
  <c r="P13" i="36"/>
  <c r="Q13" s="1"/>
  <c r="Q1728" i="35" s="1"/>
  <c r="P1728"/>
  <c r="P14" i="36"/>
  <c r="Q14" s="1"/>
  <c r="Q1729" i="35" s="1"/>
  <c r="P1729"/>
  <c r="P10" i="36"/>
  <c r="Q10" s="1"/>
  <c r="Q1725" i="35" s="1"/>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C32" i="8"/>
  <c r="C1920" i="35"/>
  <c r="D32" i="8"/>
  <c r="D1920" i="35"/>
  <c r="E32" i="8"/>
  <c r="E1920" i="35"/>
  <c r="F32" i="8"/>
  <c r="F1920" i="35"/>
  <c r="G32" i="8"/>
  <c r="G1920" i="35"/>
  <c r="H32" i="8"/>
  <c r="H1920" i="35"/>
  <c r="I32" i="8"/>
  <c r="I1920" i="35"/>
  <c r="J32" i="8"/>
  <c r="J1920" i="35"/>
  <c r="K32" i="8"/>
  <c r="K1920" i="35"/>
  <c r="B67" i="8"/>
  <c r="B1955" i="35"/>
  <c r="C67" i="8"/>
  <c r="C1955" i="35"/>
  <c r="D67" i="8"/>
  <c r="D1955" i="35"/>
  <c r="E67" i="8"/>
  <c r="E1955" i="35"/>
  <c r="F67" i="8"/>
  <c r="F1955" i="35"/>
  <c r="G1955"/>
  <c r="H1955"/>
  <c r="I1955"/>
  <c r="J1955"/>
  <c r="K195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90"/>
  <c r="F2024"/>
  <c r="E2024"/>
  <c r="D2024"/>
  <c r="C2024"/>
  <c r="B2024"/>
  <c r="B1918"/>
  <c r="C1918"/>
  <c r="D1918"/>
  <c r="E1918"/>
  <c r="F1918"/>
  <c r="G1918"/>
  <c r="H1918"/>
  <c r="I1918"/>
  <c r="J1918"/>
  <c r="K1918"/>
  <c r="B65" i="8"/>
  <c r="B1953" i="35"/>
  <c r="C65" i="8"/>
  <c r="C1953" i="35"/>
  <c r="D65" i="8"/>
  <c r="D1953" i="35"/>
  <c r="E65" i="8"/>
  <c r="E1953" i="35"/>
  <c r="F65" i="8"/>
  <c r="F1953" i="35"/>
  <c r="G1953"/>
  <c r="H1953"/>
  <c r="I1953"/>
  <c r="J1953"/>
  <c r="K1953"/>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F130" i="8"/>
  <c r="F2018" i="35"/>
  <c r="F2029"/>
  <c r="E130" i="8"/>
  <c r="E2018" i="35"/>
  <c r="E2029"/>
  <c r="D130" i="8"/>
  <c r="D2018" i="35"/>
  <c r="D2029"/>
  <c r="C130" i="8"/>
  <c r="C2018" i="35"/>
  <c r="C2029"/>
  <c r="B130" i="8"/>
  <c r="B2018" i="35"/>
  <c r="B2029"/>
  <c r="K1989"/>
  <c r="J1989"/>
  <c r="I1989"/>
  <c r="H1989"/>
  <c r="G1989"/>
  <c r="F1989"/>
  <c r="E1989"/>
  <c r="D1989"/>
  <c r="C1989"/>
  <c r="B1989"/>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95" i="8"/>
  <c r="K1983" i="35"/>
  <c r="K1994"/>
  <c r="J95" i="8"/>
  <c r="J1983" i="35"/>
  <c r="J1994"/>
  <c r="I95" i="8"/>
  <c r="I1983" i="35"/>
  <c r="I1994"/>
  <c r="H95" i="8"/>
  <c r="H1983" i="35"/>
  <c r="H1994"/>
  <c r="G95" i="8"/>
  <c r="G1983" i="35"/>
  <c r="G1994"/>
  <c r="F95" i="8"/>
  <c r="F1983" i="35"/>
  <c r="F1994"/>
  <c r="E95" i="8"/>
  <c r="E1983" i="35"/>
  <c r="E1994"/>
  <c r="D95" i="8"/>
  <c r="D1983" i="35"/>
  <c r="D1994"/>
  <c r="C95" i="8"/>
  <c r="C1983" i="35"/>
  <c r="C1994"/>
  <c r="B95" i="8"/>
  <c r="B1983" i="35"/>
  <c r="B1994"/>
  <c r="K1954"/>
  <c r="J1954"/>
  <c r="I1954"/>
  <c r="H1954"/>
  <c r="G1954"/>
  <c r="F1954"/>
  <c r="E1954"/>
  <c r="D1954"/>
  <c r="C1954"/>
  <c r="B1954"/>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60" i="8"/>
  <c r="K1948" i="35"/>
  <c r="K1959"/>
  <c r="J60" i="8"/>
  <c r="J1948" i="35"/>
  <c r="J1959"/>
  <c r="I60" i="8"/>
  <c r="I1948" i="35"/>
  <c r="I1959"/>
  <c r="H60" i="8"/>
  <c r="H1948" i="35"/>
  <c r="H1959"/>
  <c r="G60" i="8"/>
  <c r="G1948" i="35"/>
  <c r="G1959"/>
  <c r="F60" i="8"/>
  <c r="F1948" i="35"/>
  <c r="F1959"/>
  <c r="E60" i="8"/>
  <c r="E1948" i="35"/>
  <c r="E1959"/>
  <c r="D60" i="8"/>
  <c r="D1948" i="35"/>
  <c r="D1959"/>
  <c r="C60" i="8"/>
  <c r="C1948" i="35"/>
  <c r="C1959"/>
  <c r="B60" i="8"/>
  <c r="B1948" i="35"/>
  <c r="B1959"/>
  <c r="C25" i="8"/>
  <c r="C1913" i="35"/>
  <c r="C1924"/>
  <c r="D25" i="8"/>
  <c r="D1913" i="35"/>
  <c r="D1924"/>
  <c r="E25" i="8"/>
  <c r="E1913" i="35"/>
  <c r="E1924"/>
  <c r="F25" i="8"/>
  <c r="F1913" i="35"/>
  <c r="F1924"/>
  <c r="G25" i="8"/>
  <c r="G1913" i="35"/>
  <c r="G1924"/>
  <c r="H25" i="8"/>
  <c r="H1913" i="35"/>
  <c r="H1924"/>
  <c r="I25" i="8"/>
  <c r="I1913" i="35"/>
  <c r="I1924"/>
  <c r="J25" i="8"/>
  <c r="J1913" i="35"/>
  <c r="J1924"/>
  <c r="K25" i="8"/>
  <c r="K1913" i="35"/>
  <c r="K1924"/>
  <c r="C26" i="8"/>
  <c r="C1914" i="35"/>
  <c r="C1925"/>
  <c r="D26" i="8"/>
  <c r="D1914" i="35"/>
  <c r="D1925"/>
  <c r="E26" i="8"/>
  <c r="E1914" i="35"/>
  <c r="E1925"/>
  <c r="F26" i="8"/>
  <c r="F1914" i="35"/>
  <c r="F1925"/>
  <c r="G26" i="8"/>
  <c r="G1914" i="35"/>
  <c r="G1925"/>
  <c r="H26" i="8"/>
  <c r="H1914" i="35"/>
  <c r="H1925"/>
  <c r="I26" i="8"/>
  <c r="I1914" i="35"/>
  <c r="I1925"/>
  <c r="J26" i="8"/>
  <c r="J1914" i="35"/>
  <c r="J1925"/>
  <c r="K26" i="8"/>
  <c r="K1914" i="35"/>
  <c r="K1925"/>
  <c r="C27" i="8"/>
  <c r="C1915" i="35"/>
  <c r="C1926"/>
  <c r="D27" i="8"/>
  <c r="D1915" i="35"/>
  <c r="D1926"/>
  <c r="E27" i="8"/>
  <c r="E1915" i="35"/>
  <c r="E1926"/>
  <c r="F27" i="8"/>
  <c r="F1915" i="35"/>
  <c r="F1926"/>
  <c r="G27" i="8"/>
  <c r="G1915" i="35"/>
  <c r="G1926"/>
  <c r="H27" i="8"/>
  <c r="H1915" i="35"/>
  <c r="H1926"/>
  <c r="I27" i="8"/>
  <c r="I1915" i="35"/>
  <c r="I1926"/>
  <c r="J27" i="8"/>
  <c r="J1915" i="35"/>
  <c r="J1926"/>
  <c r="K27" i="8"/>
  <c r="K1915" i="35"/>
  <c r="K1926"/>
  <c r="C28" i="8"/>
  <c r="C1916" i="35"/>
  <c r="C1927"/>
  <c r="D28" i="8"/>
  <c r="D1916" i="35"/>
  <c r="D1927"/>
  <c r="E28" i="8"/>
  <c r="E1916" i="35"/>
  <c r="E1927"/>
  <c r="F28" i="8"/>
  <c r="F1916" i="35"/>
  <c r="F1927"/>
  <c r="G28" i="8"/>
  <c r="G1916" i="35"/>
  <c r="G1927"/>
  <c r="H28" i="8"/>
  <c r="H1916" i="35"/>
  <c r="H1927"/>
  <c r="I28" i="8"/>
  <c r="I1916" i="35"/>
  <c r="I1927"/>
  <c r="J28" i="8"/>
  <c r="J1916" i="35"/>
  <c r="J1927"/>
  <c r="K28" i="8"/>
  <c r="K1916" i="35"/>
  <c r="K1927"/>
  <c r="C1919"/>
  <c r="D1919"/>
  <c r="E1919"/>
  <c r="F1919"/>
  <c r="G1919"/>
  <c r="H1919"/>
  <c r="I1919"/>
  <c r="J1919"/>
  <c r="K1919"/>
  <c r="B26" i="8"/>
  <c r="B1914" i="35"/>
  <c r="B27" i="8"/>
  <c r="B1915" i="35"/>
  <c r="B28" i="8"/>
  <c r="B1916" i="35"/>
  <c r="B46" i="8"/>
  <c r="B1934" i="35" s="1"/>
  <c r="B1919"/>
  <c r="B25" i="8"/>
  <c r="B42" s="1"/>
  <c r="B1930" i="35" s="1"/>
  <c r="B1913"/>
  <c r="B20" i="8"/>
  <c r="P1863" i="35"/>
  <c r="M62" i="36"/>
  <c r="H83" i="35"/>
  <c r="AX48" i="36"/>
  <c r="H65"/>
  <c r="AY48"/>
  <c r="I65"/>
  <c r="AZ48"/>
  <c r="J65"/>
  <c r="BA48"/>
  <c r="K65"/>
  <c r="BB48"/>
  <c r="L65"/>
  <c r="M65"/>
  <c r="I80" i="35"/>
  <c r="AS48" i="36"/>
  <c r="H66"/>
  <c r="AT48"/>
  <c r="I66"/>
  <c r="AU48"/>
  <c r="J66"/>
  <c r="AV48"/>
  <c r="K66"/>
  <c r="AW48"/>
  <c r="L66"/>
  <c r="M66"/>
  <c r="I79"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H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H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H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I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I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I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J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J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J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K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K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K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L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L81"/>
  <c r="M81"/>
  <c r="F74" i="35"/>
  <c r="DP10" i="36"/>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H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H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H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I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I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I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J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J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J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K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K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K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L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L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L78"/>
  <c r="M78"/>
  <c r="F73" i="35"/>
  <c r="M82" i="36"/>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H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I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I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I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J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J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J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K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L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L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L75"/>
  <c r="M75"/>
  <c r="F71" i="35"/>
  <c r="A112" i="11"/>
  <c r="A2604" i="35"/>
  <c r="A111" i="11"/>
  <c r="A2603" i="35"/>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A11"/>
  <c r="A12"/>
  <c r="A13"/>
  <c r="A14"/>
  <c r="A15"/>
  <c r="A16"/>
  <c r="A17"/>
  <c r="A18"/>
  <c r="A19"/>
  <c r="A20"/>
  <c r="A21"/>
  <c r="A22"/>
  <c r="A23"/>
  <c r="A24"/>
  <c r="A25"/>
  <c r="A26"/>
  <c r="A27"/>
  <c r="A28"/>
  <c r="A29"/>
  <c r="A30"/>
  <c r="A31"/>
  <c r="A32"/>
  <c r="A33"/>
  <c r="A34"/>
  <c r="A35"/>
  <c r="A36"/>
  <c r="A37"/>
  <c r="A38"/>
  <c r="A39"/>
  <c r="A40"/>
  <c r="A41"/>
  <c r="A42"/>
  <c r="A43"/>
  <c r="A44"/>
  <c r="A45"/>
  <c r="A46"/>
  <c r="A47"/>
  <c r="A10"/>
  <c r="E48"/>
  <c r="F125" i="8"/>
  <c r="E125"/>
  <c r="D125"/>
  <c r="C125"/>
  <c r="B125"/>
  <c r="K90"/>
  <c r="J90"/>
  <c r="I90"/>
  <c r="H90"/>
  <c r="G90"/>
  <c r="F90"/>
  <c r="E90"/>
  <c r="D90"/>
  <c r="C90"/>
  <c r="B90"/>
  <c r="K55"/>
  <c r="J55"/>
  <c r="I55"/>
  <c r="H55"/>
  <c r="G55"/>
  <c r="F55"/>
  <c r="E55"/>
  <c r="D55"/>
  <c r="C55"/>
  <c r="B55"/>
  <c r="C20"/>
  <c r="D20"/>
  <c r="E20"/>
  <c r="F20"/>
  <c r="G20"/>
  <c r="H20"/>
  <c r="I20"/>
  <c r="J20"/>
  <c r="K20"/>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Z79"/>
  <c r="Z80"/>
  <c r="Z81"/>
  <c r="AA79"/>
  <c r="AA80"/>
  <c r="AA81"/>
  <c r="AB79"/>
  <c r="AB80"/>
  <c r="AB81"/>
  <c r="AC79"/>
  <c r="AC80"/>
  <c r="AC81"/>
  <c r="Y79"/>
  <c r="Y80"/>
  <c r="Y81"/>
  <c r="Z76"/>
  <c r="Z77"/>
  <c r="Z78"/>
  <c r="AA76"/>
  <c r="AA77"/>
  <c r="AA78"/>
  <c r="AB76"/>
  <c r="AB77"/>
  <c r="AB78"/>
  <c r="AC76"/>
  <c r="AC77"/>
  <c r="AC78"/>
  <c r="Y76"/>
  <c r="Y77"/>
  <c r="Y78"/>
  <c r="Z73"/>
  <c r="Z74"/>
  <c r="Z75"/>
  <c r="AA73"/>
  <c r="AA74"/>
  <c r="AA75"/>
  <c r="AB73"/>
  <c r="AB74"/>
  <c r="AB75"/>
  <c r="AC73"/>
  <c r="AC74"/>
  <c r="AC75"/>
  <c r="Y73"/>
  <c r="Y74"/>
  <c r="Y75"/>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I50" i="7"/>
  <c r="I51"/>
  <c r="CG10" i="36"/>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H54" i="7"/>
  <c r="F46"/>
  <c r="F45"/>
  <c r="F44"/>
  <c r="F43"/>
  <c r="F42"/>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AD81" i="36"/>
  <c r="Q81"/>
  <c r="AD78"/>
  <c r="Q78"/>
  <c r="AD75"/>
  <c r="Q75"/>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C13"/>
  <c r="D13"/>
  <c r="E13"/>
  <c r="F13"/>
  <c r="G13"/>
  <c r="H13"/>
  <c r="I13"/>
  <c r="J13"/>
  <c r="K13"/>
  <c r="B48"/>
  <c r="C48"/>
  <c r="D48"/>
  <c r="E48"/>
  <c r="F48"/>
  <c r="G48"/>
  <c r="H48"/>
  <c r="I48"/>
  <c r="J48"/>
  <c r="K48"/>
  <c r="B83"/>
  <c r="C83"/>
  <c r="D83"/>
  <c r="E83"/>
  <c r="F83"/>
  <c r="G83"/>
  <c r="H83"/>
  <c r="I83"/>
  <c r="J83"/>
  <c r="K83"/>
  <c r="B118"/>
  <c r="B119"/>
  <c r="G102" i="36"/>
  <c r="B15" i="8"/>
  <c r="B120"/>
  <c r="B121"/>
  <c r="F146" i="36"/>
  <c r="F155"/>
  <c r="F166"/>
  <c r="K144"/>
  <c r="K153"/>
  <c r="K163"/>
  <c r="P145"/>
  <c r="P158"/>
  <c r="B19" i="8"/>
  <c r="B124"/>
  <c r="B139"/>
  <c r="C118"/>
  <c r="C119"/>
  <c r="C120"/>
  <c r="C121"/>
  <c r="C124"/>
  <c r="C139"/>
  <c r="D118"/>
  <c r="D119"/>
  <c r="D120"/>
  <c r="D121"/>
  <c r="D124"/>
  <c r="D139"/>
  <c r="E118"/>
  <c r="E119"/>
  <c r="E120"/>
  <c r="E121"/>
  <c r="E124"/>
  <c r="E139"/>
  <c r="F118"/>
  <c r="F119"/>
  <c r="F120"/>
  <c r="F121"/>
  <c r="F124"/>
  <c r="F139"/>
  <c r="B129"/>
  <c r="B140"/>
  <c r="C129"/>
  <c r="C140"/>
  <c r="D129"/>
  <c r="D140"/>
  <c r="E129"/>
  <c r="E140"/>
  <c r="F129"/>
  <c r="F140"/>
  <c r="B142"/>
  <c r="C142"/>
  <c r="D142"/>
  <c r="E142"/>
  <c r="F142"/>
  <c r="B143"/>
  <c r="C143"/>
  <c r="D143"/>
  <c r="E143"/>
  <c r="F143"/>
  <c r="B144"/>
  <c r="C144"/>
  <c r="D144"/>
  <c r="E144"/>
  <c r="F144"/>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A48" i="36"/>
  <c r="A7"/>
  <c r="Z62"/>
  <c r="AA62"/>
  <c r="AB62"/>
  <c r="AC62"/>
  <c r="Y62"/>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107" i="8"/>
  <c r="D107"/>
  <c r="E107"/>
  <c r="F107"/>
  <c r="G107"/>
  <c r="H107"/>
  <c r="I107"/>
  <c r="J107"/>
  <c r="K107"/>
  <c r="C108"/>
  <c r="D108"/>
  <c r="E108"/>
  <c r="F108"/>
  <c r="G108"/>
  <c r="H108"/>
  <c r="I108"/>
  <c r="J108"/>
  <c r="K108"/>
  <c r="C109"/>
  <c r="D109"/>
  <c r="E109"/>
  <c r="F109"/>
  <c r="G109"/>
  <c r="H109"/>
  <c r="I109"/>
  <c r="J109"/>
  <c r="K109"/>
  <c r="B109"/>
  <c r="B108"/>
  <c r="B107"/>
  <c r="B89"/>
  <c r="B84"/>
  <c r="B85"/>
  <c r="B86"/>
  <c r="B105"/>
  <c r="K84"/>
  <c r="K85"/>
  <c r="K86"/>
  <c r="K89"/>
  <c r="K105"/>
  <c r="J84"/>
  <c r="J85"/>
  <c r="J86"/>
  <c r="J89"/>
  <c r="J105"/>
  <c r="I84"/>
  <c r="I85"/>
  <c r="I86"/>
  <c r="I89"/>
  <c r="I105"/>
  <c r="H84"/>
  <c r="H85"/>
  <c r="H86"/>
  <c r="H89"/>
  <c r="H105"/>
  <c r="G84"/>
  <c r="G85"/>
  <c r="G86"/>
  <c r="G89"/>
  <c r="G105"/>
  <c r="F84"/>
  <c r="F85"/>
  <c r="F86"/>
  <c r="F89"/>
  <c r="F105"/>
  <c r="E84"/>
  <c r="E85"/>
  <c r="E86"/>
  <c r="E89"/>
  <c r="E105"/>
  <c r="D84"/>
  <c r="D85"/>
  <c r="D86"/>
  <c r="D89"/>
  <c r="D105"/>
  <c r="C84"/>
  <c r="C85"/>
  <c r="C86"/>
  <c r="C89"/>
  <c r="C105"/>
  <c r="C59"/>
  <c r="D59"/>
  <c r="E59"/>
  <c r="F59"/>
  <c r="G59"/>
  <c r="H59"/>
  <c r="I59"/>
  <c r="J59"/>
  <c r="K59"/>
  <c r="C72"/>
  <c r="D72"/>
  <c r="E72"/>
  <c r="F72"/>
  <c r="G72"/>
  <c r="H72"/>
  <c r="I72"/>
  <c r="J72"/>
  <c r="K72"/>
  <c r="C73"/>
  <c r="D73"/>
  <c r="E73"/>
  <c r="F73"/>
  <c r="G73"/>
  <c r="H73"/>
  <c r="I73"/>
  <c r="J73"/>
  <c r="K73"/>
  <c r="C74"/>
  <c r="D74"/>
  <c r="E74"/>
  <c r="F74"/>
  <c r="G74"/>
  <c r="H74"/>
  <c r="I74"/>
  <c r="J74"/>
  <c r="K74"/>
  <c r="B59"/>
  <c r="B74"/>
  <c r="B73"/>
  <c r="B72"/>
  <c r="G120" i="36"/>
  <c r="B52" i="8"/>
  <c r="B49"/>
  <c r="B50"/>
  <c r="B51"/>
  <c r="B54"/>
  <c r="B70"/>
  <c r="K49"/>
  <c r="K50"/>
  <c r="K51"/>
  <c r="P120" i="36"/>
  <c r="K52" i="8"/>
  <c r="K54"/>
  <c r="K70"/>
  <c r="J49"/>
  <c r="J50"/>
  <c r="J51"/>
  <c r="O120" i="36"/>
  <c r="J52" i="8"/>
  <c r="J54"/>
  <c r="J70"/>
  <c r="I49"/>
  <c r="I50"/>
  <c r="I51"/>
  <c r="N120" i="36"/>
  <c r="I52" i="8"/>
  <c r="I54"/>
  <c r="I70"/>
  <c r="H49"/>
  <c r="H50"/>
  <c r="H51"/>
  <c r="M120" i="36"/>
  <c r="H52" i="8"/>
  <c r="H54"/>
  <c r="H70"/>
  <c r="G49"/>
  <c r="G50"/>
  <c r="G51"/>
  <c r="L120" i="36"/>
  <c r="G52" i="8"/>
  <c r="G54"/>
  <c r="G70"/>
  <c r="F49"/>
  <c r="F50"/>
  <c r="F51"/>
  <c r="K120" i="36"/>
  <c r="F52" i="8"/>
  <c r="F54"/>
  <c r="F70"/>
  <c r="E49"/>
  <c r="E50"/>
  <c r="E51"/>
  <c r="J120" i="36"/>
  <c r="E52" i="8"/>
  <c r="E54"/>
  <c r="E70"/>
  <c r="D49"/>
  <c r="D50"/>
  <c r="D51"/>
  <c r="I120" i="36"/>
  <c r="D52" i="8"/>
  <c r="D54"/>
  <c r="D70"/>
  <c r="C49"/>
  <c r="C50"/>
  <c r="C51"/>
  <c r="H120" i="36"/>
  <c r="C52" i="8"/>
  <c r="C54"/>
  <c r="C70"/>
  <c r="C24"/>
  <c r="D24"/>
  <c r="E24"/>
  <c r="F24"/>
  <c r="G24"/>
  <c r="H24"/>
  <c r="I24"/>
  <c r="J24"/>
  <c r="K24"/>
  <c r="C37"/>
  <c r="D37"/>
  <c r="E37"/>
  <c r="F37"/>
  <c r="G37"/>
  <c r="H37"/>
  <c r="I37"/>
  <c r="J37"/>
  <c r="K37"/>
  <c r="C38"/>
  <c r="D38"/>
  <c r="E38"/>
  <c r="F38"/>
  <c r="G38"/>
  <c r="H38"/>
  <c r="I38"/>
  <c r="J38"/>
  <c r="K38"/>
  <c r="C39"/>
  <c r="D39"/>
  <c r="E39"/>
  <c r="F39"/>
  <c r="G39"/>
  <c r="H39"/>
  <c r="I39"/>
  <c r="J39"/>
  <c r="K39"/>
  <c r="B24"/>
  <c r="B39"/>
  <c r="B38"/>
  <c r="B37"/>
  <c r="B16"/>
  <c r="G109" i="36"/>
  <c r="B17" i="8"/>
  <c r="B35"/>
  <c r="C14"/>
  <c r="C15"/>
  <c r="C16"/>
  <c r="H109" i="36"/>
  <c r="C17" i="8"/>
  <c r="C19"/>
  <c r="C35"/>
  <c r="D14"/>
  <c r="D15"/>
  <c r="D16"/>
  <c r="I109" i="36"/>
  <c r="D17" i="8"/>
  <c r="D19"/>
  <c r="D35"/>
  <c r="E14"/>
  <c r="E15"/>
  <c r="E16"/>
  <c r="J109" i="36"/>
  <c r="E17" i="8"/>
  <c r="E19"/>
  <c r="E35"/>
  <c r="F14"/>
  <c r="F15"/>
  <c r="F16"/>
  <c r="K109" i="36"/>
  <c r="F17" i="8"/>
  <c r="F19"/>
  <c r="F35"/>
  <c r="G14"/>
  <c r="G15"/>
  <c r="G16"/>
  <c r="L109" i="36"/>
  <c r="G17" i="8"/>
  <c r="G19"/>
  <c r="G35"/>
  <c r="H14"/>
  <c r="H15"/>
  <c r="H16"/>
  <c r="M109" i="36"/>
  <c r="H17" i="8"/>
  <c r="H19"/>
  <c r="H35"/>
  <c r="I14"/>
  <c r="I15"/>
  <c r="I16"/>
  <c r="N109" i="36"/>
  <c r="I17" i="8"/>
  <c r="I19"/>
  <c r="I35"/>
  <c r="J14"/>
  <c r="J15"/>
  <c r="J16"/>
  <c r="O109" i="36"/>
  <c r="J17" i="8"/>
  <c r="J19"/>
  <c r="J35"/>
  <c r="K14"/>
  <c r="K15"/>
  <c r="K16"/>
  <c r="P109" i="36"/>
  <c r="K17" i="8"/>
  <c r="K19"/>
  <c r="K35"/>
  <c r="L227" i="11"/>
  <c r="P17"/>
  <c r="G12"/>
  <c r="K17"/>
  <c r="G11"/>
  <c r="F17"/>
  <c r="G10"/>
  <c r="AD62" i="36"/>
  <c r="Q62"/>
  <c r="AD65"/>
  <c r="Q65"/>
  <c r="AD66"/>
  <c r="Q66"/>
  <c r="H67"/>
  <c r="I67"/>
  <c r="J67"/>
  <c r="K67"/>
  <c r="L67"/>
  <c r="M67"/>
  <c r="Y67"/>
  <c r="Z67"/>
  <c r="AA67"/>
  <c r="AB67"/>
  <c r="AC67"/>
  <c r="AD67"/>
  <c r="Q67"/>
  <c r="M73"/>
  <c r="AD73"/>
  <c r="Q73"/>
  <c r="M74"/>
  <c r="AD74"/>
  <c r="Q74"/>
  <c r="M76"/>
  <c r="AD76"/>
  <c r="Q76"/>
  <c r="M77"/>
  <c r="AD77"/>
  <c r="Q77"/>
  <c r="M79"/>
  <c r="AD79"/>
  <c r="Q79"/>
  <c r="M80"/>
  <c r="AD80"/>
  <c r="Q80"/>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H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U48"/>
  <c r="I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V48"/>
  <c r="J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W48"/>
  <c r="K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M85"/>
  <c r="Y85"/>
  <c r="Z85"/>
  <c r="AA85"/>
  <c r="AB85"/>
  <c r="AC85"/>
  <c r="AD85"/>
  <c r="Q85"/>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Y48"/>
  <c r="H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A48"/>
  <c r="J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B48"/>
  <c r="K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C48"/>
  <c r="L86"/>
  <c r="M86"/>
  <c r="Y86"/>
  <c r="Z86"/>
  <c r="AA86"/>
  <c r="AB86"/>
  <c r="AC86"/>
  <c r="AD86"/>
  <c r="Q86"/>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N48"/>
  <c r="H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O48"/>
  <c r="I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Q48"/>
  <c r="K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R48"/>
  <c r="L87"/>
  <c r="M87"/>
  <c r="Y87"/>
  <c r="Z87"/>
  <c r="AA87"/>
  <c r="AB87"/>
  <c r="AC87"/>
  <c r="AD87"/>
  <c r="Q8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J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L48"/>
  <c r="K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L88"/>
  <c r="M88"/>
  <c r="Y88"/>
  <c r="Z88"/>
  <c r="AA88"/>
  <c r="AB88"/>
  <c r="AC88"/>
  <c r="AD88"/>
  <c r="Q88"/>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E48"/>
  <c r="I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J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K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M89"/>
  <c r="Y89"/>
  <c r="Z89"/>
  <c r="AA89"/>
  <c r="AB89"/>
  <c r="AC89"/>
  <c r="AD89"/>
  <c r="Q89"/>
  <c r="Y97"/>
  <c r="Z97"/>
  <c r="AA97"/>
  <c r="AB97"/>
  <c r="AC97"/>
  <c r="AD97"/>
  <c r="Q97"/>
  <c r="A1" i="6"/>
  <c r="K6" i="8"/>
  <c r="K7"/>
  <c r="K5"/>
  <c r="A1"/>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K104" i="8"/>
  <c r="J104"/>
  <c r="I104"/>
  <c r="H104"/>
  <c r="G104"/>
  <c r="F104"/>
  <c r="E104"/>
  <c r="D104"/>
  <c r="C104"/>
  <c r="B104"/>
  <c r="K69"/>
  <c r="J69"/>
  <c r="I69"/>
  <c r="H69"/>
  <c r="G69"/>
  <c r="F69"/>
  <c r="E69"/>
  <c r="D69"/>
  <c r="C69"/>
  <c r="B69"/>
  <c r="C34"/>
  <c r="D34"/>
  <c r="E34"/>
  <c r="F34"/>
  <c r="G34"/>
  <c r="H34"/>
  <c r="I34"/>
  <c r="J34"/>
  <c r="K34"/>
  <c r="B34"/>
  <c r="GH10" i="36"/>
  <c r="GC10"/>
  <c r="FX10"/>
  <c r="FS10"/>
  <c r="GL10"/>
  <c r="GK10"/>
  <c r="GJ10"/>
  <c r="GI10"/>
  <c r="GG10"/>
  <c r="GF10"/>
  <c r="GE10"/>
  <c r="GD10"/>
  <c r="GG48"/>
  <c r="GF48"/>
  <c r="GE48"/>
  <c r="GD48"/>
  <c r="GL48"/>
  <c r="GK48"/>
  <c r="GJ48"/>
  <c r="GI48"/>
  <c r="GB10"/>
  <c r="GA10"/>
  <c r="FZ10"/>
  <c r="FY10"/>
  <c r="GB48"/>
  <c r="GA48"/>
  <c r="FZ48"/>
  <c r="FY48"/>
  <c r="FX48"/>
  <c r="GC48"/>
  <c r="GH48"/>
  <c r="FW10"/>
  <c r="FV10"/>
  <c r="FU10"/>
  <c r="FT10"/>
  <c r="FW48"/>
  <c r="FV48"/>
  <c r="FU48"/>
  <c r="FT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51" i="3"/>
  <c r="L27"/>
  <c r="P1873" i="35"/>
  <c r="P1881"/>
  <c r="N1865"/>
  <c r="N1864"/>
  <c r="B1924"/>
  <c r="B1921"/>
  <c r="J55"/>
  <c r="P1721"/>
  <c r="O1718"/>
  <c r="H404"/>
  <c r="S393"/>
  <c r="S394"/>
  <c r="S395" s="1"/>
  <c r="B1927"/>
  <c r="B1926"/>
  <c r="B1925"/>
  <c r="B1960"/>
  <c r="C1960"/>
  <c r="D1960"/>
  <c r="E1960"/>
  <c r="F1960"/>
  <c r="G1960"/>
  <c r="H1960"/>
  <c r="I1960"/>
  <c r="J1960"/>
  <c r="K1960"/>
  <c r="B1961"/>
  <c r="C1961"/>
  <c r="D1961"/>
  <c r="E1961"/>
  <c r="F1961"/>
  <c r="G1961"/>
  <c r="H1961"/>
  <c r="I1961"/>
  <c r="J1961"/>
  <c r="K1961"/>
  <c r="B1962"/>
  <c r="C1962"/>
  <c r="D1962"/>
  <c r="E1962"/>
  <c r="F1962"/>
  <c r="G1962"/>
  <c r="H1962"/>
  <c r="I1962"/>
  <c r="J1962"/>
  <c r="K1962"/>
  <c r="B1995"/>
  <c r="C1995"/>
  <c r="D1995"/>
  <c r="E1995"/>
  <c r="F1995"/>
  <c r="G1995"/>
  <c r="H1995"/>
  <c r="I1995"/>
  <c r="J1995"/>
  <c r="K1995"/>
  <c r="B1996"/>
  <c r="C1996"/>
  <c r="D1996"/>
  <c r="E1996"/>
  <c r="F1996"/>
  <c r="G1996"/>
  <c r="H1996"/>
  <c r="I1996"/>
  <c r="J1996"/>
  <c r="K1996"/>
  <c r="B1997"/>
  <c r="C1997"/>
  <c r="D1997"/>
  <c r="E1997"/>
  <c r="F1997"/>
  <c r="G1997"/>
  <c r="H1997"/>
  <c r="I1997"/>
  <c r="J1997"/>
  <c r="K1997"/>
  <c r="B2030"/>
  <c r="C2030"/>
  <c r="D2030"/>
  <c r="E2030"/>
  <c r="F2030"/>
  <c r="B2031"/>
  <c r="C2031"/>
  <c r="D2031"/>
  <c r="E2031"/>
  <c r="F2031"/>
  <c r="B2032"/>
  <c r="C2032"/>
  <c r="D2032"/>
  <c r="E2032"/>
  <c r="F2032"/>
  <c r="L379"/>
  <c r="L380"/>
  <c r="BW48" i="36"/>
  <c r="AM48"/>
  <c r="AL48"/>
  <c r="AK48"/>
  <c r="AJ48"/>
  <c r="AI48"/>
  <c r="AC48"/>
  <c r="X48"/>
  <c r="AB48"/>
  <c r="W48"/>
  <c r="AA48"/>
  <c r="V48"/>
  <c r="Z48"/>
  <c r="U48"/>
  <c r="Y48"/>
  <c r="T48"/>
  <c r="M123" i="15"/>
  <c r="M140"/>
  <c r="M142"/>
  <c r="M144"/>
  <c r="O38" i="11"/>
  <c r="O2532" i="35"/>
  <c r="P38" i="11"/>
  <c r="P2532" i="35"/>
  <c r="A3"/>
  <c r="A354"/>
  <c r="A414"/>
  <c r="A471"/>
  <c r="G471"/>
  <c r="A959"/>
  <c r="A1008"/>
  <c r="I1675"/>
  <c r="R2672"/>
  <c r="P2530"/>
  <c r="P2786"/>
  <c r="P2498"/>
  <c r="P294" i="11"/>
  <c r="P6"/>
  <c r="O2530" i="35"/>
  <c r="O2786"/>
  <c r="O2498"/>
  <c r="O294" i="11"/>
  <c r="O6"/>
  <c r="H57" i="36"/>
  <c r="Y57"/>
  <c r="H58"/>
  <c r="Y58"/>
  <c r="I57"/>
  <c r="Z57"/>
  <c r="I58"/>
  <c r="Z58"/>
  <c r="J57"/>
  <c r="AA57"/>
  <c r="J58"/>
  <c r="AA58"/>
  <c r="K57"/>
  <c r="AB57"/>
  <c r="K58"/>
  <c r="AB58"/>
  <c r="L57"/>
  <c r="AC57"/>
  <c r="L58"/>
  <c r="AC58"/>
  <c r="H60"/>
  <c r="Y60"/>
  <c r="I60"/>
  <c r="Z60"/>
  <c r="J60"/>
  <c r="AA60"/>
  <c r="K60"/>
  <c r="AB60"/>
  <c r="L60"/>
  <c r="AC60"/>
  <c r="H92"/>
  <c r="Y92"/>
  <c r="Y59"/>
  <c r="AD57"/>
  <c r="H59"/>
  <c r="M57"/>
  <c r="AD60"/>
  <c r="M60"/>
  <c r="AC59"/>
  <c r="AC61"/>
  <c r="AC63"/>
  <c r="L59"/>
  <c r="L61"/>
  <c r="L63"/>
  <c r="AB59"/>
  <c r="AB61"/>
  <c r="AB63"/>
  <c r="K59"/>
  <c r="K61"/>
  <c r="K63"/>
  <c r="AA59"/>
  <c r="AA61"/>
  <c r="AA63"/>
  <c r="J59"/>
  <c r="J61"/>
  <c r="J63"/>
  <c r="Z59"/>
  <c r="Z61"/>
  <c r="Z63"/>
  <c r="I59"/>
  <c r="I61"/>
  <c r="I63"/>
  <c r="AD58"/>
  <c r="M58"/>
  <c r="H79" i="35"/>
  <c r="H50" i="7"/>
  <c r="Q58" i="36"/>
  <c r="H81" i="35"/>
  <c r="H52" i="7"/>
  <c r="Q60" i="36"/>
  <c r="H80" i="35"/>
  <c r="H51" i="7"/>
  <c r="Q57" i="36"/>
  <c r="M59"/>
  <c r="H61"/>
  <c r="Y61"/>
  <c r="AD59"/>
  <c r="Y63"/>
  <c r="AD63"/>
  <c r="AD61"/>
  <c r="M61"/>
  <c r="H63"/>
  <c r="Q59"/>
  <c r="H49" i="7"/>
  <c r="H53"/>
  <c r="H55"/>
  <c r="H78" i="35"/>
  <c r="H82"/>
  <c r="H84"/>
  <c r="R11" i="24"/>
  <c r="M63" i="36"/>
  <c r="R12" i="24"/>
  <c r="R13"/>
  <c r="M2524" i="35"/>
  <c r="P170"/>
  <c r="P169"/>
  <c r="M32" i="11"/>
  <c r="P141" i="7"/>
  <c r="P140"/>
  <c r="Q61" i="36"/>
  <c r="G1621" i="35"/>
  <c r="F1611"/>
  <c r="E1589"/>
  <c r="D1534"/>
  <c r="P100"/>
  <c r="P98"/>
  <c r="P96"/>
  <c r="J159" i="36"/>
  <c r="J160"/>
  <c r="J158"/>
  <c r="F115" i="15"/>
  <c r="P71" i="7"/>
  <c r="N150" i="36"/>
  <c r="N149"/>
  <c r="P161"/>
  <c r="E93" i="15"/>
  <c r="N158" i="36"/>
  <c r="P69" i="7"/>
  <c r="P67"/>
  <c r="Q63" i="36"/>
  <c r="D38" i="15"/>
  <c r="G125"/>
  <c r="D1621" i="35"/>
  <c r="D125" i="15"/>
  <c r="M151"/>
  <c r="J152"/>
  <c r="J1648" i="35"/>
  <c r="M1647"/>
  <c r="B21" i="8"/>
  <c r="P166" i="36"/>
  <c r="B126" i="8"/>
  <c r="B127"/>
  <c r="B141" s="1"/>
  <c r="B138"/>
  <c r="C126"/>
  <c r="C127"/>
  <c r="C141" s="1"/>
  <c r="C138"/>
  <c r="D126"/>
  <c r="D127"/>
  <c r="D141" s="1"/>
  <c r="D138"/>
  <c r="E126"/>
  <c r="E127"/>
  <c r="E141" s="1"/>
  <c r="E138"/>
  <c r="F126"/>
  <c r="F127"/>
  <c r="F141" s="1"/>
  <c r="F138"/>
  <c r="B91"/>
  <c r="B92"/>
  <c r="B106" s="1"/>
  <c r="B103"/>
  <c r="K91"/>
  <c r="K92"/>
  <c r="K106" s="1"/>
  <c r="K103"/>
  <c r="J91"/>
  <c r="J92"/>
  <c r="J106" s="1"/>
  <c r="J103"/>
  <c r="I91"/>
  <c r="I92"/>
  <c r="I106" s="1"/>
  <c r="I103"/>
  <c r="H91"/>
  <c r="H92"/>
  <c r="H106" s="1"/>
  <c r="H103"/>
  <c r="G91"/>
  <c r="G92"/>
  <c r="G106" s="1"/>
  <c r="G103"/>
  <c r="F91"/>
  <c r="F92"/>
  <c r="F106" s="1"/>
  <c r="F103"/>
  <c r="E91"/>
  <c r="E92"/>
  <c r="E106" s="1"/>
  <c r="E103"/>
  <c r="D91"/>
  <c r="D92"/>
  <c r="D106" s="1"/>
  <c r="D103"/>
  <c r="C91"/>
  <c r="C92"/>
  <c r="C106" s="1"/>
  <c r="C103"/>
  <c r="B56"/>
  <c r="B57"/>
  <c r="B71" s="1"/>
  <c r="B68"/>
  <c r="K56"/>
  <c r="K57"/>
  <c r="K71" s="1"/>
  <c r="K68"/>
  <c r="J56"/>
  <c r="J57"/>
  <c r="J71" s="1"/>
  <c r="J68"/>
  <c r="I56"/>
  <c r="I57"/>
  <c r="I71" s="1"/>
  <c r="I68"/>
  <c r="H56"/>
  <c r="H57"/>
  <c r="H71" s="1"/>
  <c r="H68"/>
  <c r="G56"/>
  <c r="G57"/>
  <c r="G71" s="1"/>
  <c r="G68"/>
  <c r="F56"/>
  <c r="F57"/>
  <c r="F71" s="1"/>
  <c r="F68"/>
  <c r="E56"/>
  <c r="E57"/>
  <c r="E71" s="1"/>
  <c r="E68"/>
  <c r="D56"/>
  <c r="D57"/>
  <c r="D71" s="1"/>
  <c r="D68"/>
  <c r="C56"/>
  <c r="C57"/>
  <c r="C71" s="1"/>
  <c r="C68"/>
  <c r="B22"/>
  <c r="B36" s="1"/>
  <c r="B33"/>
  <c r="C21"/>
  <c r="C22"/>
  <c r="C36" s="1"/>
  <c r="C33"/>
  <c r="D21"/>
  <c r="D22"/>
  <c r="D36" s="1"/>
  <c r="D33"/>
  <c r="E21"/>
  <c r="E22"/>
  <c r="E36" s="1"/>
  <c r="E33"/>
  <c r="F21"/>
  <c r="F22"/>
  <c r="F36" s="1"/>
  <c r="F33"/>
  <c r="G21"/>
  <c r="G22"/>
  <c r="G36" s="1"/>
  <c r="G33"/>
  <c r="H21"/>
  <c r="H22"/>
  <c r="H36" s="1"/>
  <c r="H33"/>
  <c r="I21"/>
  <c r="I22"/>
  <c r="I36" s="1"/>
  <c r="I33"/>
  <c r="J21"/>
  <c r="J22"/>
  <c r="J36" s="1"/>
  <c r="J33"/>
  <c r="K21"/>
  <c r="K22"/>
  <c r="K36" s="1"/>
  <c r="K33"/>
  <c r="J154" i="15" l="1"/>
  <c r="J155" s="1"/>
  <c r="J157" s="1"/>
  <c r="J159" s="1"/>
  <c r="J1650" i="35"/>
  <c r="J1651" s="1"/>
  <c r="J1653" s="1"/>
  <c r="J1655" s="1"/>
  <c r="B1928"/>
  <c r="K40" i="8"/>
  <c r="J40"/>
  <c r="I40"/>
  <c r="H40"/>
  <c r="G40"/>
  <c r="F40"/>
  <c r="E40"/>
  <c r="D40"/>
  <c r="C40"/>
  <c r="C75"/>
  <c r="D75"/>
  <c r="E75"/>
  <c r="F75"/>
  <c r="G75"/>
  <c r="H75"/>
  <c r="I75"/>
  <c r="J75"/>
  <c r="K75"/>
  <c r="B75"/>
  <c r="C110"/>
  <c r="D110"/>
  <c r="E110"/>
  <c r="F110"/>
  <c r="G110"/>
  <c r="H110"/>
  <c r="I110"/>
  <c r="J110"/>
  <c r="K110"/>
  <c r="F145"/>
  <c r="E145"/>
  <c r="D145"/>
  <c r="C145"/>
  <c r="B145"/>
  <c r="B110"/>
  <c r="B40"/>
  <c r="C46"/>
  <c r="C1934" i="35" s="1"/>
  <c r="C42" i="8"/>
  <c r="C1930" i="35" s="1"/>
  <c r="CP48" i="36"/>
  <c r="CO48"/>
  <c r="CN48"/>
  <c r="CM48"/>
  <c r="CL48"/>
  <c r="CF48"/>
  <c r="CA48"/>
  <c r="CE48"/>
  <c r="BZ48"/>
  <c r="CD48"/>
  <c r="BY48"/>
  <c r="CC48"/>
  <c r="BX48"/>
  <c r="CB48"/>
  <c r="L95"/>
  <c r="AC95"/>
  <c r="K95"/>
  <c r="AB95"/>
  <c r="J95"/>
  <c r="AA95"/>
  <c r="I95"/>
  <c r="Z95"/>
  <c r="H95"/>
  <c r="M95" s="1"/>
  <c r="Y95"/>
  <c r="AD95" s="1"/>
  <c r="L93"/>
  <c r="AC93"/>
  <c r="L92"/>
  <c r="L94" s="1"/>
  <c r="L96" s="1"/>
  <c r="L98" s="1"/>
  <c r="AC92"/>
  <c r="AC94" s="1"/>
  <c r="AC96" s="1"/>
  <c r="AC98" s="1"/>
  <c r="K93"/>
  <c r="AB93"/>
  <c r="K92"/>
  <c r="K94" s="1"/>
  <c r="K96" s="1"/>
  <c r="K98" s="1"/>
  <c r="AB92"/>
  <c r="AB94" s="1"/>
  <c r="AB96" s="1"/>
  <c r="AB98" s="1"/>
  <c r="J93"/>
  <c r="AA93"/>
  <c r="J92"/>
  <c r="J94" s="1"/>
  <c r="J96" s="1"/>
  <c r="J98" s="1"/>
  <c r="AA92"/>
  <c r="AA94" s="1"/>
  <c r="AA96" s="1"/>
  <c r="AA98" s="1"/>
  <c r="I93"/>
  <c r="Z93"/>
  <c r="I92"/>
  <c r="Z92"/>
  <c r="H93"/>
  <c r="Y93"/>
  <c r="D46" i="8" l="1"/>
  <c r="D42"/>
  <c r="AD93" i="36"/>
  <c r="Y94"/>
  <c r="M93"/>
  <c r="Q93" s="1"/>
  <c r="H94"/>
  <c r="Z94"/>
  <c r="Z96" s="1"/>
  <c r="Z98" s="1"/>
  <c r="AD92"/>
  <c r="I94"/>
  <c r="I96" s="1"/>
  <c r="I98" s="1"/>
  <c r="M92"/>
  <c r="Q92" s="1"/>
  <c r="P79" i="35"/>
  <c r="P50" i="7"/>
  <c r="Q95" i="36"/>
  <c r="D1934" i="35" l="1"/>
  <c r="E46" i="8"/>
  <c r="D1930" i="35"/>
  <c r="E42" i="8"/>
  <c r="M94" i="36"/>
  <c r="H96"/>
  <c r="AD94"/>
  <c r="Y96"/>
  <c r="E1934" i="35" l="1"/>
  <c r="F46" i="8"/>
  <c r="E1930" i="35"/>
  <c r="F42" i="8"/>
  <c r="AD96" i="36"/>
  <c r="Y98"/>
  <c r="AD98" s="1"/>
  <c r="M96"/>
  <c r="Q96" s="1"/>
  <c r="H98"/>
  <c r="M98" s="1"/>
  <c r="P78" i="35"/>
  <c r="P80" s="1"/>
  <c r="P82" s="1"/>
  <c r="P87" s="1"/>
  <c r="P49" i="7"/>
  <c r="P51" s="1"/>
  <c r="P53" s="1"/>
  <c r="P58" s="1"/>
  <c r="Q94" i="36"/>
  <c r="J1641" i="35"/>
  <c r="J1642" s="1"/>
  <c r="J1644" s="1"/>
  <c r="M1641"/>
  <c r="M1642" s="1"/>
  <c r="M1644" s="1"/>
  <c r="P1641"/>
  <c r="P1642" s="1"/>
  <c r="P1644" s="1"/>
  <c r="J145" i="15"/>
  <c r="J146" s="1"/>
  <c r="J148" s="1"/>
  <c r="M145"/>
  <c r="M146" s="1"/>
  <c r="M148" s="1"/>
  <c r="P145"/>
  <c r="P146" s="1"/>
  <c r="P148" s="1"/>
  <c r="F1934" i="35" l="1"/>
  <c r="G46" i="8"/>
  <c r="F1930" i="35"/>
  <c r="G42" i="8"/>
  <c r="M1621" i="35"/>
  <c r="D1535"/>
  <c r="Q98" i="36"/>
  <c r="D39" i="15"/>
  <c r="M125"/>
  <c r="J149"/>
  <c r="J161" s="1"/>
  <c r="J1645" i="35"/>
  <c r="J1657" s="1"/>
  <c r="Q54" i="36"/>
  <c r="G1934" i="35" l="1"/>
  <c r="H46" i="8"/>
  <c r="G1930" i="35"/>
  <c r="H42" i="8"/>
  <c r="J1661" i="35"/>
  <c r="M1659"/>
  <c r="J165" i="15"/>
  <c r="M163"/>
  <c r="H1934" i="35" l="1"/>
  <c r="I46" i="8"/>
  <c r="H1930" i="35"/>
  <c r="I42" i="8"/>
  <c r="J394" i="35"/>
  <c r="L394" s="1"/>
  <c r="J393"/>
  <c r="L393" s="1"/>
  <c r="J41" i="3"/>
  <c r="L41" s="1"/>
  <c r="J40"/>
  <c r="L40" s="1"/>
  <c r="E92" i="15"/>
  <c r="J6" i="7"/>
  <c r="I1934" i="35" l="1"/>
  <c r="J46" i="8"/>
  <c r="I1930" i="35"/>
  <c r="J42" i="8"/>
  <c r="J1934" i="35" l="1"/>
  <c r="K46" i="8"/>
  <c r="J1930" i="35"/>
  <c r="K42" i="8"/>
  <c r="K1934" i="35" l="1"/>
  <c r="B81" i="8"/>
  <c r="K1930" i="35"/>
  <c r="B77" i="8"/>
  <c r="B1969" i="35" l="1"/>
  <c r="C81" i="8"/>
  <c r="B1965" i="35"/>
  <c r="C77" i="8"/>
  <c r="C1969" i="35" l="1"/>
  <c r="D81" i="8"/>
  <c r="C1965" i="35"/>
  <c r="D77" i="8"/>
  <c r="D1969" i="35" l="1"/>
  <c r="E81" i="8"/>
  <c r="D1965" i="35"/>
  <c r="E77" i="8"/>
  <c r="E1969" i="35" l="1"/>
  <c r="F81" i="8"/>
  <c r="E1965" i="35"/>
  <c r="F77" i="8"/>
  <c r="F1969" i="35" l="1"/>
  <c r="G81" i="8"/>
  <c r="F1965" i="35"/>
  <c r="G77" i="8"/>
  <c r="G1969" i="35" l="1"/>
  <c r="H81" i="8"/>
  <c r="G1965" i="35"/>
  <c r="H77" i="8"/>
  <c r="H1969" i="35" l="1"/>
  <c r="I81" i="8"/>
  <c r="H1965" i="35"/>
  <c r="I77" i="8"/>
  <c r="I1969" i="35" l="1"/>
  <c r="J81" i="8"/>
  <c r="I1965" i="35"/>
  <c r="J77" i="8"/>
  <c r="J1969" i="35" l="1"/>
  <c r="K81" i="8"/>
  <c r="J1965" i="35"/>
  <c r="K77" i="8"/>
  <c r="K1969" i="35" l="1"/>
  <c r="B116" i="8"/>
  <c r="K1965" i="35"/>
  <c r="B112" i="8"/>
  <c r="B2004" i="35" l="1"/>
  <c r="C116" i="8"/>
  <c r="B2000" i="35"/>
  <c r="C112" i="8"/>
  <c r="C2004" i="35" l="1"/>
  <c r="D116" i="8"/>
  <c r="C2000" i="35"/>
  <c r="D112" i="8"/>
  <c r="D2004" i="35" l="1"/>
  <c r="E116" i="8"/>
  <c r="D2000" i="35"/>
  <c r="E112" i="8"/>
  <c r="E2004" i="35" l="1"/>
  <c r="F116" i="8"/>
  <c r="E2000" i="35"/>
  <c r="F112" i="8"/>
  <c r="F2004" i="35" l="1"/>
  <c r="G116" i="8"/>
  <c r="F2000" i="35"/>
  <c r="G112" i="8"/>
  <c r="G2004" i="35" l="1"/>
  <c r="H116" i="8"/>
  <c r="G2000" i="35"/>
  <c r="H112" i="8"/>
  <c r="H2004" i="35" l="1"/>
  <c r="I116" i="8"/>
  <c r="H2000" i="35"/>
  <c r="I112" i="8"/>
  <c r="I2004" i="35" l="1"/>
  <c r="J116" i="8"/>
  <c r="I2000" i="35"/>
  <c r="J112" i="8"/>
  <c r="J2004" i="35" l="1"/>
  <c r="K116" i="8"/>
  <c r="J2000" i="35"/>
  <c r="K112" i="8"/>
  <c r="K2004" i="35" l="1"/>
  <c r="B151" i="8"/>
  <c r="K2000" i="35"/>
  <c r="B147" i="8"/>
  <c r="B2039" i="35" l="1"/>
  <c r="C151" i="8"/>
  <c r="B2035" i="35"/>
  <c r="C147" i="8"/>
  <c r="C2039" i="35" l="1"/>
  <c r="D151" i="8"/>
  <c r="C2035" i="35"/>
  <c r="D147" i="8"/>
  <c r="D2039" i="35" l="1"/>
  <c r="E151" i="8"/>
  <c r="D2035" i="35"/>
  <c r="E147" i="8"/>
  <c r="E2039" i="35" l="1"/>
  <c r="F151" i="8"/>
  <c r="F2039" i="35" s="1"/>
  <c r="E2035"/>
  <c r="F147" i="8"/>
  <c r="F2035" i="35" s="1"/>
</calcChain>
</file>

<file path=xl/sharedStrings.xml><?xml version="1.0" encoding="utf-8"?>
<sst xmlns="http://schemas.openxmlformats.org/spreadsheetml/2006/main" count="10161" uniqueCount="4089">
  <si>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</si>
  <si>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</si>
  <si>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</si>
  <si>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</si>
  <si>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</si>
  <si>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</si>
  <si>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</si>
  <si>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</si>
  <si>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</si>
  <si>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</si>
  <si>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</si>
  <si>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</si>
  <si>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</si>
  <si>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</si>
  <si>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</si>
  <si>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</si>
  <si>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</si>
  <si>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</si>
  <si>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</si>
  <si>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</si>
  <si>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</si>
  <si>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</si>
  <si>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</si>
  <si>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</si>
  <si>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</si>
  <si>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</si>
  <si>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</si>
  <si>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</si>
  <si>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</si>
  <si>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</si>
  <si>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</si>
  <si>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</si>
  <si>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</si>
  <si>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</si>
  <si>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</si>
  <si>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</si>
  <si>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</si>
  <si>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</si>
  <si>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</si>
  <si>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</si>
  <si>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</si>
  <si>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</si>
  <si>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</si>
  <si>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</si>
  <si>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</si>
  <si>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</si>
  <si>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</si>
  <si>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</si>
  <si>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</si>
  <si>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</si>
  <si>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</si>
  <si>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</si>
  <si>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</si>
  <si>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</si>
  <si>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</si>
  <si>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</si>
  <si>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</si>
  <si>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</si>
  <si>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</si>
  <si>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</si>
  <si>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</si>
  <si>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</si>
  <si>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</si>
  <si>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</si>
  <si>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</si>
  <si>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</si>
  <si>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</si>
  <si>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</si>
  <si>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</si>
  <si>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</si>
  <si>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</si>
  <si>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</si>
  <si>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</si>
  <si>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</si>
  <si>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</si>
  <si>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</si>
  <si>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</si>
  <si>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</si>
  <si>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</si>
  <si>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</si>
  <si>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</si>
  <si>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</si>
  <si>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</si>
  <si>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</si>
  <si>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</si>
  <si>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</si>
  <si>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</si>
  <si>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</si>
  <si>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</si>
  <si>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</si>
  <si>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</si>
  <si>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</si>
  <si>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</si>
  <si>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</si>
  <si>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</si>
  <si>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</si>
  <si>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</si>
  <si>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</si>
  <si>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</si>
  <si>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</si>
  <si>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</si>
  <si>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</si>
  <si>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</si>
  <si>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</si>
  <si>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</si>
  <si>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</si>
  <si>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</si>
  <si>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</si>
  <si>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</si>
  <si>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</si>
  <si>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</si>
  <si>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</si>
  <si>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</si>
  <si>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</si>
  <si>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</si>
  <si>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</si>
  <si>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</si>
  <si>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</si>
  <si>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</si>
  <si>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</si>
  <si>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</si>
  <si>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</si>
  <si>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</si>
  <si>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</si>
  <si>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</si>
  <si>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</si>
  <si>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</si>
  <si>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</si>
  <si>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</si>
  <si>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</si>
  <si>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</si>
  <si>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</si>
  <si>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</si>
  <si>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</si>
  <si>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</si>
  <si>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</si>
  <si>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</si>
  <si>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</si>
  <si>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</si>
  <si>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</si>
  <si>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</si>
  <si>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</si>
  <si>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</si>
  <si>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</si>
  <si>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</si>
  <si>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</si>
  <si>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</si>
  <si>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</si>
  <si>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</si>
  <si>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</si>
  <si>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</si>
  <si>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</si>
  <si>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</si>
  <si>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</si>
  <si>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</si>
  <si>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</si>
  <si>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</si>
  <si>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</si>
  <si>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</si>
  <si>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</si>
  <si>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</si>
  <si>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</si>
  <si>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</si>
  <si>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</si>
  <si>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</si>
  <si>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</si>
  <si>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</si>
  <si>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</si>
  <si>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</si>
  <si>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</si>
  <si>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</si>
  <si>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</si>
  <si>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</si>
  <si>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</si>
  <si>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</si>
  <si>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</si>
  <si>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</si>
  <si>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</si>
  <si>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</si>
  <si>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</si>
  <si>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</si>
  <si>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</si>
  <si>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</si>
  <si>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</si>
  <si>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</si>
  <si>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</si>
  <si>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</si>
  <si>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</si>
  <si>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</si>
  <si>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</si>
  <si>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</si>
  <si>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</si>
  <si>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</si>
  <si>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</si>
  <si>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</si>
  <si>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</si>
  <si>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</si>
  <si>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</si>
  <si>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</si>
  <si>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</si>
  <si>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</si>
  <si>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</si>
  <si>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</si>
  <si>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</si>
  <si>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</si>
  <si>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</si>
  <si>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</si>
  <si>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</si>
  <si>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</si>
  <si>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</si>
  <si>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</si>
  <si>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</si>
  <si>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</si>
  <si>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</si>
  <si>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</si>
  <si>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</si>
  <si>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</si>
  <si>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</si>
  <si>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</si>
  <si>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</si>
  <si>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</si>
  <si>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</si>
  <si>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</si>
  <si>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</si>
  <si>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</si>
  <si>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</si>
  <si>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</si>
  <si>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</si>
  <si>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</si>
  <si>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</si>
  <si>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</si>
  <si>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</si>
  <si>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</si>
  <si>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</si>
  <si>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</si>
  <si>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</si>
  <si>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</si>
  <si>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</si>
  <si>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</si>
  <si>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</si>
  <si>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</si>
  <si>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</si>
  <si>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</si>
  <si>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</si>
  <si>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</si>
  <si>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</si>
  <si>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</si>
  <si>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</si>
  <si>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</si>
  <si>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</si>
  <si>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</si>
  <si>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</si>
  <si>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</si>
  <si>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</si>
  <si>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</si>
  <si>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</si>
  <si>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</si>
  <si>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</si>
  <si>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</si>
  <si>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</si>
  <si>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</si>
  <si>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</si>
  <si>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</si>
  <si>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</si>
  <si>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</si>
  <si>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</si>
  <si>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</si>
  <si>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</si>
  <si>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</si>
  <si>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</si>
  <si>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</si>
  <si>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</si>
  <si>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</si>
  <si>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</si>
  <si>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</si>
  <si>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</si>
  <si>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</si>
  <si>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</si>
  <si>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</si>
  <si>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</si>
  <si>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</si>
  <si>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</si>
  <si>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</si>
  <si>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</si>
  <si>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</si>
  <si>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</si>
  <si>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</si>
  <si>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</si>
  <si>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</si>
  <si>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</si>
  <si>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</si>
  <si>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</si>
  <si>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</si>
  <si>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</si>
  <si>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</si>
  <si>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</si>
  <si>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</si>
  <si>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</si>
  <si>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</si>
  <si>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</si>
  <si>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</si>
  <si>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</si>
  <si>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</si>
  <si>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</si>
  <si>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</si>
  <si>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</si>
  <si>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</si>
  <si>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</si>
  <si>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</si>
  <si>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</si>
  <si>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</si>
  <si>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</si>
  <si>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</si>
  <si>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</si>
  <si>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</si>
  <si>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</si>
  <si>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</si>
  <si>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</si>
  <si>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</si>
  <si>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</si>
  <si>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</si>
  <si>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</si>
  <si>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</si>
  <si>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</si>
  <si>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</si>
  <si>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</si>
  <si>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</si>
  <si>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</si>
  <si>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</si>
  <si>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</si>
  <si>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</si>
  <si>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</si>
  <si>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</si>
  <si>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</si>
  <si>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</si>
  <si>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</si>
  <si>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</si>
  <si>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</si>
  <si>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</si>
  <si>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</si>
  <si>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</si>
  <si>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</si>
  <si>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</si>
  <si>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</si>
  <si>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</si>
  <si>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</si>
  <si>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</si>
  <si>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</si>
  <si>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</si>
  <si>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</si>
  <si>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</si>
  <si>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</si>
  <si>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</si>
  <si>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</si>
  <si>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</si>
  <si>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</si>
  <si>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</si>
  <si>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</si>
  <si>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</si>
  <si>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</si>
  <si>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</si>
  <si>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</si>
  <si>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</si>
  <si>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</si>
  <si>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</si>
  <si>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</si>
  <si>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</si>
  <si>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</si>
  <si>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</si>
  <si>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</si>
  <si>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</si>
  <si>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</si>
  <si>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</si>
  <si>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</si>
  <si>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</si>
  <si>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</si>
  <si>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</si>
  <si>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</si>
  <si>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</si>
  <si>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</si>
  <si>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</si>
  <si>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</si>
  <si>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</si>
  <si>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</si>
  <si>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</si>
  <si>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</si>
  <si>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</si>
  <si>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</si>
  <si>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</si>
  <si>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</si>
  <si>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</si>
  <si>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</si>
  <si>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</si>
  <si>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</si>
  <si>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</si>
  <si>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</si>
  <si>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</si>
  <si>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</si>
  <si>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</si>
  <si>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</si>
  <si>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</si>
  <si>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</si>
  <si>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</si>
  <si>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</si>
  <si>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</si>
  <si>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</si>
  <si>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</si>
  <si>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</si>
  <si>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</si>
  <si>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</si>
  <si>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</si>
  <si>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</si>
  <si>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</si>
  <si>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</si>
  <si>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</si>
  <si>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</si>
  <si>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</si>
  <si>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</si>
  <si>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</si>
  <si>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</si>
  <si>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</si>
  <si>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</si>
  <si>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</si>
  <si>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</si>
  <si>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</si>
  <si>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</si>
  <si>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</si>
  <si>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</si>
  <si>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</si>
  <si>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</si>
  <si>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</si>
  <si>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</si>
  <si>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</si>
  <si>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</si>
  <si>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</si>
  <si>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</si>
  <si>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</si>
  <si>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</si>
  <si>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</si>
  <si>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</si>
  <si>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</si>
  <si>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</si>
  <si>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</si>
  <si>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</si>
  <si>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</si>
  <si>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</si>
  <si>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</si>
  <si>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</si>
  <si>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</si>
  <si>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</si>
  <si>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</si>
  <si>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</si>
  <si>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</si>
  <si>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</si>
  <si>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</si>
  <si>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</si>
  <si>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</si>
  <si>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</si>
  <si>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</si>
  <si>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</si>
  <si>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</si>
  <si>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</si>
  <si>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</si>
  <si>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</si>
  <si>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</si>
  <si>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</si>
  <si>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</si>
  <si>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</si>
  <si>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</si>
  <si>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</si>
  <si>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</si>
  <si>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</si>
  <si>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</si>
  <si>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</si>
  <si>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</si>
  <si>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</si>
  <si>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</si>
  <si>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</si>
  <si>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</si>
  <si>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</si>
  <si>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</si>
  <si>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</si>
  <si>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</si>
  <si>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</si>
  <si>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</si>
  <si>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</si>
  <si>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</si>
  <si>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</si>
  <si>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</si>
  <si>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</si>
  <si>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</si>
  <si>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</si>
  <si>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</si>
  <si>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</si>
  <si>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</si>
  <si>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</si>
  <si>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</si>
  <si>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</si>
  <si>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</si>
  <si>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</si>
  <si>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</si>
  <si>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</si>
  <si>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</si>
  <si>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</si>
  <si>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</si>
  <si>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</si>
  <si>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</si>
  <si>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</si>
  <si>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</si>
  <si>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</si>
  <si>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</si>
  <si>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</si>
  <si>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</si>
  <si>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</si>
  <si>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</si>
  <si>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</si>
  <si>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</si>
  <si>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</si>
  <si>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</si>
  <si>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</si>
  <si>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</si>
  <si>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</si>
  <si>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</si>
  <si>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</si>
  <si>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</si>
  <si>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</si>
  <si>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</si>
  <si>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</si>
  <si>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</si>
  <si>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</si>
  <si>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</si>
  <si>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</si>
  <si>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</si>
  <si>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</si>
  <si>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</si>
  <si>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</si>
  <si>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</si>
  <si>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</si>
  <si>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</si>
  <si>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</si>
  <si>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</si>
  <si>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</si>
  <si>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</si>
  <si>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</si>
  <si>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</si>
  <si>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</si>
  <si>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</si>
  <si>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</si>
  <si>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</si>
  <si>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</si>
  <si>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</si>
  <si>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</si>
  <si>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</si>
  <si>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</si>
  <si>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</si>
  <si>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</si>
  <si>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</si>
  <si>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</si>
  <si>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</si>
  <si>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</si>
  <si>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</si>
  <si>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</si>
  <si>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</si>
  <si>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</si>
  <si>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</si>
  <si>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</si>
  <si>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</si>
  <si>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</si>
  <si>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</si>
  <si>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</si>
  <si>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</si>
  <si>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</si>
  <si>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</si>
  <si>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</si>
  <si>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</si>
  <si>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</si>
  <si>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</si>
  <si>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</si>
  <si>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</si>
  <si>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</si>
  <si>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</si>
  <si>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</si>
  <si>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</si>
  <si>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</si>
  <si>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</si>
  <si>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</si>
  <si>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</si>
  <si>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</si>
  <si>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</si>
  <si>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</si>
  <si>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</si>
  <si>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</si>
  <si>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</si>
  <si>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</si>
  <si>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</si>
  <si>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</si>
  <si>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</si>
  <si>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</si>
  <si>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</si>
  <si>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</si>
  <si>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</si>
  <si>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</si>
  <si>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</si>
  <si>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</si>
  <si>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</si>
  <si>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</si>
  <si>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</si>
  <si>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</si>
  <si>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</si>
  <si>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</si>
  <si>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</si>
  <si>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</si>
  <si>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</si>
  <si>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</si>
  <si>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</si>
  <si>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</si>
  <si>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</si>
  <si>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</si>
  <si>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</si>
  <si>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</si>
  <si>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</si>
  <si>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</si>
  <si>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</si>
  <si>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</si>
  <si>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</si>
  <si>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</si>
  <si>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</si>
  <si>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</si>
  <si>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</si>
  <si>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</si>
  <si>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</si>
  <si>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</si>
  <si>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</si>
  <si>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</si>
  <si>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</si>
  <si>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</si>
  <si>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</si>
  <si>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</si>
  <si>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</si>
  <si>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</si>
  <si>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</si>
  <si>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</si>
  <si>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</si>
  <si>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</si>
  <si>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</si>
  <si>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</si>
  <si>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</si>
  <si>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</si>
  <si>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</si>
  <si>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</si>
  <si>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</si>
  <si>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</si>
  <si>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</si>
  <si>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</si>
  <si>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</si>
  <si>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</si>
  <si>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</si>
  <si>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</si>
  <si>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</si>
  <si>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</si>
  <si>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</si>
  <si>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</si>
  <si>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</si>
  <si>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</si>
  <si>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</si>
  <si>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</si>
  <si>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</si>
  <si>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</si>
  <si>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</si>
  <si>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</si>
  <si>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</si>
  <si>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</si>
  <si>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</si>
  <si>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</si>
  <si>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</si>
  <si>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</si>
  <si>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</si>
  <si>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</si>
  <si>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</si>
  <si>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</si>
  <si>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</si>
  <si>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</si>
  <si>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</si>
  <si>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</si>
  <si>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</si>
  <si>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</si>
  <si>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</si>
  <si>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</si>
  <si>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</si>
  <si>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</si>
  <si>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</si>
  <si>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</si>
  <si>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</si>
  <si>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</si>
  <si>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</si>
  <si>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</si>
  <si>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</si>
  <si>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</si>
  <si>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</si>
  <si>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</si>
  <si>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</si>
  <si>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</si>
  <si>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</si>
  <si>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</si>
  <si>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</si>
  <si>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</si>
  <si>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</si>
  <si>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</si>
  <si>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</si>
  <si>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</si>
  <si>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</si>
  <si>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</si>
  <si>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</si>
  <si>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</si>
  <si>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</si>
  <si>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</si>
  <si>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</si>
  <si>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</si>
  <si>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</si>
  <si>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</si>
  <si>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</si>
  <si>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</si>
  <si>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</si>
  <si>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</si>
  <si>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</si>
  <si>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</si>
  <si>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</si>
  <si>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</si>
  <si>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</si>
  <si>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</si>
  <si>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</si>
  <si>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</si>
  <si>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</si>
  <si>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</si>
  <si>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</si>
  <si>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</si>
  <si>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</si>
  <si>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</si>
  <si>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</si>
  <si>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</si>
  <si>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</si>
  <si>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</si>
  <si>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</si>
  <si>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</si>
  <si>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</si>
  <si>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</si>
  <si>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</si>
  <si>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</si>
  <si>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</si>
  <si>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</si>
  <si>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</si>
  <si>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</si>
  <si>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</si>
  <si>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</si>
  <si>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</si>
  <si>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</si>
  <si>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</si>
  <si>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</si>
  <si>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</si>
  <si>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</si>
  <si>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</si>
  <si>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</si>
  <si>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</si>
  <si>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</si>
  <si>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</si>
  <si>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</si>
  <si>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</si>
  <si>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</si>
  <si>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</si>
  <si>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</si>
  <si>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</si>
  <si>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</si>
  <si>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</si>
  <si>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</si>
  <si>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</si>
  <si>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</si>
  <si>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</si>
  <si>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</si>
  <si>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</si>
  <si>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</si>
  <si>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</si>
  <si>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</si>
  <si>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</si>
  <si>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</si>
  <si>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</si>
  <si>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</si>
  <si>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</si>
  <si>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</si>
  <si>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</si>
  <si>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</si>
  <si>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</si>
  <si>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</si>
  <si>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</si>
  <si>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</si>
  <si>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</si>
  <si>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</si>
  <si>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</si>
  <si>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</si>
  <si>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</si>
  <si>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</si>
  <si>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</si>
  <si>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</si>
  <si>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</si>
  <si>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</si>
  <si>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</si>
  <si>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</si>
  <si>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</si>
  <si>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</si>
  <si>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</si>
  <si>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</si>
  <si>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</si>
  <si>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</si>
  <si>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</si>
  <si>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</si>
  <si>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</si>
  <si>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</si>
  <si>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</si>
  <si>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</si>
  <si>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</si>
  <si>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</si>
  <si>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</si>
  <si>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</si>
  <si>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</si>
  <si>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</si>
  <si>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</si>
  <si>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</si>
  <si>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</si>
  <si>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</si>
  <si>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</si>
  <si>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</si>
  <si>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</si>
  <si>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</si>
  <si>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</si>
  <si>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</si>
  <si>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</si>
  <si>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</si>
  <si>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</si>
  <si>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</si>
  <si>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</si>
  <si>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</si>
  <si>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</si>
  <si>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</si>
  <si>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</si>
  <si>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</si>
  <si>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</si>
  <si>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</si>
  <si>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</si>
  <si>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</si>
  <si>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</si>
  <si>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</si>
  <si>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</si>
  <si>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</si>
  <si>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</si>
  <si>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</si>
  <si>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</si>
  <si>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</si>
  <si>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</si>
  <si>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</si>
  <si>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</si>
  <si>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</si>
  <si>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</si>
  <si>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</si>
  <si>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</si>
  <si>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</si>
  <si>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</si>
  <si>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</si>
  <si>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</si>
  <si>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</si>
  <si>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</si>
  <si>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</si>
  <si>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</si>
  <si>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</si>
  <si>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</si>
  <si>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</si>
  <si>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</si>
  <si>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</si>
  <si>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</si>
  <si>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</si>
  <si>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</si>
  <si>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</si>
  <si>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</si>
  <si>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</si>
  <si>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</si>
  <si>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</si>
  <si>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</si>
  <si>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</si>
  <si>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</si>
  <si>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</si>
  <si>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</si>
  <si>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</si>
  <si>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</si>
  <si>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</si>
  <si>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</si>
  <si>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</si>
  <si>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</si>
  <si>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</si>
  <si>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</si>
  <si>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</si>
  <si>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</si>
  <si>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</si>
  <si>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</si>
  <si>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</si>
  <si>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</si>
  <si>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</si>
  <si>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</si>
  <si>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</si>
  <si>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</si>
  <si>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</si>
  <si>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</si>
  <si>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</si>
  <si>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</si>
  <si>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</si>
  <si>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</si>
  <si>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</si>
  <si>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</si>
  <si>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</si>
  <si>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</si>
  <si>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</si>
  <si>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</si>
  <si>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</si>
  <si>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</si>
  <si>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</si>
  <si>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</si>
  <si>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</si>
  <si>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</si>
  <si>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</si>
  <si>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</si>
  <si>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</si>
  <si>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</si>
  <si>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</si>
  <si>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</si>
  <si>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</si>
  <si>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</si>
  <si>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</si>
  <si>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</si>
  <si>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</si>
  <si>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</si>
  <si>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</si>
  <si>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</si>
  <si>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</si>
  <si>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</si>
  <si>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</si>
  <si>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</si>
  <si>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</si>
  <si>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</si>
  <si>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</si>
  <si>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</si>
  <si>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</si>
  <si>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</si>
  <si>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</si>
  <si>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</si>
  <si>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</si>
  <si>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</si>
  <si>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</si>
  <si>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</si>
  <si>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</si>
  <si>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</si>
  <si>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</si>
  <si>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</si>
  <si>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</si>
  <si>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</si>
  <si>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</si>
  <si>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</si>
  <si>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</si>
  <si>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</si>
  <si>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</si>
  <si>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</si>
  <si>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</si>
  <si>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</si>
  <si>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</si>
  <si>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</si>
  <si>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</si>
  <si>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</si>
  <si>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</si>
  <si>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</si>
  <si>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</si>
  <si>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</si>
  <si>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</si>
  <si>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</si>
  <si>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</si>
  <si>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</si>
  <si>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</si>
  <si>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</si>
  <si>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</si>
  <si>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</si>
  <si>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</si>
  <si>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</si>
  <si>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</si>
  <si>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</si>
  <si>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</si>
  <si>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</si>
  <si>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</si>
  <si>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</si>
  <si>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</si>
  <si>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</si>
  <si>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</si>
  <si>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</si>
  <si>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</si>
  <si>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</si>
  <si>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</si>
  <si>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</si>
  <si>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</si>
  <si>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</si>
  <si>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</si>
  <si>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</si>
  <si>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</si>
  <si>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</si>
  <si>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</si>
  <si>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</si>
  <si>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</si>
  <si>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</si>
  <si>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</si>
  <si>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</si>
  <si>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</si>
  <si>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</si>
  <si>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</si>
  <si>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</si>
  <si>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</si>
  <si>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</si>
  <si>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</si>
  <si>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</si>
  <si>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</si>
  <si>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</si>
  <si>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</si>
  <si>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</si>
  <si>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</si>
  <si>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</si>
  <si>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</si>
  <si>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</si>
  <si>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</si>
  <si>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</si>
  <si>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</si>
  <si>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</si>
  <si>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</si>
  <si>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</si>
  <si>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</si>
  <si>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</si>
  <si>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</si>
  <si>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</si>
  <si>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</si>
  <si>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</si>
  <si>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</si>
  <si>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</si>
  <si>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</si>
  <si>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</si>
  <si>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</si>
  <si>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</si>
  <si>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</si>
  <si>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</si>
  <si>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</si>
  <si>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</si>
  <si>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</si>
  <si>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</si>
  <si>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</si>
  <si>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</si>
  <si>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</si>
  <si>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</si>
  <si>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</si>
  <si>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</si>
  <si>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</si>
  <si>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</si>
  <si>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</si>
  <si>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</si>
  <si>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</si>
  <si>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</si>
  <si>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</si>
  <si>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</si>
  <si>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</si>
  <si>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</si>
  <si>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</si>
  <si>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</si>
  <si>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</si>
  <si>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</si>
  <si>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</si>
  <si>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</si>
  <si>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</si>
  <si>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</si>
  <si>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</si>
  <si>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</si>
  <si>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</si>
  <si>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</si>
  <si>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</si>
  <si>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</si>
  <si>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</si>
  <si>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</si>
  <si>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</si>
  <si>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</si>
  <si>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</si>
  <si>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</si>
  <si>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</si>
  <si>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</si>
  <si>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</si>
  <si>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</si>
  <si>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</si>
  <si>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</si>
  <si>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</si>
  <si>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</si>
  <si>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</si>
  <si>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</si>
  <si>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</si>
  <si>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</si>
  <si>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</si>
  <si>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</si>
  <si>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</si>
  <si>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</si>
  <si>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</si>
  <si>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</si>
  <si>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</si>
  <si>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</si>
  <si>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</si>
  <si>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</si>
  <si>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</si>
  <si>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</si>
  <si>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</si>
  <si>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</si>
  <si>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</si>
  <si>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</si>
  <si>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</si>
  <si>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</si>
  <si>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</si>
  <si>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</si>
  <si>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</si>
  <si>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</si>
  <si>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</si>
  <si>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</si>
  <si>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</si>
  <si>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</si>
  <si>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</si>
  <si>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</si>
  <si>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</si>
  <si>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</si>
  <si>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</si>
  <si>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</si>
  <si>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</si>
  <si>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</si>
  <si>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</si>
  <si>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</si>
  <si>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</si>
  <si>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</si>
  <si>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</si>
  <si>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</si>
  <si>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</si>
  <si>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</si>
  <si>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</si>
  <si>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</si>
  <si>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</si>
  <si>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</si>
  <si>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</si>
  <si>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</si>
  <si>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</si>
  <si>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</si>
  <si>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</si>
  <si>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</si>
  <si>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</si>
  <si>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</si>
  <si>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</si>
  <si>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</si>
  <si>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</si>
  <si>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</si>
  <si>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</si>
  <si>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</si>
  <si>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</si>
  <si>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</si>
  <si>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</si>
  <si>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</si>
  <si>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</si>
  <si>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</si>
  <si>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</si>
  <si>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</si>
  <si>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</si>
  <si>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</si>
  <si>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</si>
  <si>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</si>
  <si>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</si>
  <si>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</si>
  <si>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</si>
  <si>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</si>
  <si>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</si>
  <si>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</si>
  <si>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</si>
  <si>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</si>
  <si>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</si>
  <si>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</si>
  <si>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</si>
  <si>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</si>
  <si>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</si>
  <si>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</si>
  <si>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</si>
  <si>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</si>
  <si>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</si>
  <si>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</si>
  <si>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</si>
  <si>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</si>
  <si>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</si>
  <si>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</si>
  <si>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</si>
  <si>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</si>
  <si>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</si>
  <si>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</si>
  <si>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</si>
  <si>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</si>
  <si>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</si>
  <si>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</si>
  <si>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</si>
  <si>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</si>
  <si>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</si>
  <si>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</si>
  <si>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</si>
  <si>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</si>
  <si>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</si>
  <si>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</si>
  <si>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</si>
  <si>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</si>
  <si>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</si>
  <si>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</si>
  <si>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</si>
  <si>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</si>
  <si>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</si>
  <si>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</si>
  <si>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</si>
  <si>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</si>
  <si>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</si>
  <si>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</si>
  <si>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</si>
  <si>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</si>
  <si>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</si>
  <si>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</si>
  <si>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</si>
  <si>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</si>
  <si>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</si>
  <si>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</si>
  <si>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</si>
  <si>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</si>
  <si>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</si>
  <si>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</si>
  <si>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</si>
  <si>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</si>
  <si>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</si>
  <si>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</si>
  <si>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</si>
  <si>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</si>
  <si>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</si>
  <si>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</si>
  <si>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</si>
  <si>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</si>
  <si>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</si>
  <si>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</si>
  <si>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</si>
  <si>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</si>
  <si>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</si>
  <si>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</si>
  <si>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</si>
  <si>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</si>
  <si>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</si>
  <si>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</si>
  <si>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</si>
  <si>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</si>
  <si>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</si>
  <si>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</si>
  <si>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</si>
  <si>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</si>
  <si>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</si>
  <si>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</si>
  <si>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</si>
  <si>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</si>
  <si>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</si>
  <si>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</si>
  <si>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</si>
  <si>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</si>
  <si>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</si>
  <si>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</si>
  <si>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</si>
  <si>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</si>
  <si>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</si>
  <si>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</si>
  <si>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</si>
  <si>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</si>
  <si>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</si>
  <si>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</si>
  <si>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</si>
  <si>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</si>
  <si>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</si>
  <si>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</si>
  <si>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</si>
  <si>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</si>
  <si>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</si>
  <si>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</si>
  <si>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</si>
  <si>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</si>
  <si>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</si>
  <si>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</si>
  <si>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</si>
  <si>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</si>
  <si>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</si>
  <si>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</si>
  <si>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</si>
  <si>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</si>
  <si>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</si>
  <si>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</si>
  <si>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</si>
  <si>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</si>
  <si>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</si>
  <si>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</si>
  <si>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</si>
  <si>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</si>
  <si>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</si>
  <si>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</si>
  <si>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</si>
  <si>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</si>
  <si>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</si>
  <si>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</si>
  <si>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</si>
  <si>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</si>
  <si>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</si>
  <si>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</si>
  <si>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</si>
  <si>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</si>
  <si>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</si>
  <si>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</si>
  <si>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</si>
  <si>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</si>
  <si>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</si>
  <si>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</si>
  <si>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</si>
  <si>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</si>
  <si>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</si>
  <si>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</si>
  <si>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</si>
  <si>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</si>
  <si>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</si>
  <si>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</si>
  <si>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</si>
  <si>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</si>
  <si>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</si>
  <si>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</si>
  <si>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</si>
  <si>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</si>
  <si>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</si>
  <si>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</si>
  <si>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</si>
  <si>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</si>
  <si>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</si>
  <si>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</si>
  <si>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</si>
  <si>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</si>
  <si>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</si>
  <si>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</si>
  <si>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</si>
  <si>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</si>
  <si>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</si>
  <si>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</si>
  <si>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</si>
  <si>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</si>
  <si>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</si>
  <si>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</si>
  <si>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</si>
  <si>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</si>
  <si>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</si>
  <si>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</si>
  <si>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</si>
  <si>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</si>
  <si>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</si>
  <si>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</si>
  <si>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</si>
  <si>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</si>
  <si>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</si>
  <si>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</si>
  <si>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</si>
  <si>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</si>
  <si>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</si>
  <si>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</si>
  <si>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</si>
  <si>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</si>
  <si>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</si>
  <si>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</si>
  <si>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</si>
  <si>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</si>
  <si>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</si>
  <si>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</si>
  <si>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</si>
  <si>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</si>
  <si>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</si>
  <si>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</si>
  <si>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</si>
  <si>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</si>
  <si>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</si>
  <si>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</si>
  <si>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</si>
  <si>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</si>
  <si>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</si>
  <si>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</si>
  <si>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</si>
  <si>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</si>
  <si>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</si>
  <si>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</si>
  <si>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</si>
  <si>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</si>
  <si>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</si>
  <si>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</si>
  <si>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</si>
  <si>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</si>
  <si>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</si>
  <si>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</si>
  <si>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</si>
  <si>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</si>
  <si>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</si>
  <si>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</si>
  <si>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</si>
  <si>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</si>
  <si>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</si>
  <si>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</si>
  <si>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</si>
  <si>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</si>
  <si>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</si>
  <si>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</si>
  <si>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</si>
  <si>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</si>
  <si>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</si>
  <si>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</si>
  <si>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</si>
  <si>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</si>
  <si>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</si>
  <si>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</si>
  <si>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</si>
  <si>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</si>
  <si>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</si>
  <si>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</si>
  <si>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</si>
  <si>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</si>
  <si>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</si>
  <si>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</si>
  <si>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</si>
  <si>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</si>
  <si>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</si>
  <si>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</si>
  <si>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</si>
  <si>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</si>
  <si>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</si>
  <si>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</si>
  <si>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</si>
  <si>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</si>
  <si>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</si>
  <si>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</si>
  <si>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</si>
  <si>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</si>
  <si>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</si>
  <si>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</si>
  <si>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</si>
  <si>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</si>
  <si>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</si>
  <si>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</si>
  <si>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</si>
  <si>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</si>
  <si>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</si>
  <si>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</si>
  <si>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</si>
  <si>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</si>
  <si>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</si>
  <si>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</si>
  <si>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</si>
  <si>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</si>
  <si>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</si>
  <si>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</si>
  <si>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</si>
  <si>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</si>
  <si>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</si>
  <si>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</si>
  <si>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</si>
  <si>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</si>
  <si>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</si>
  <si>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</si>
  <si>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</si>
  <si>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</si>
  <si>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</si>
  <si>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</si>
  <si>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</si>
  <si>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</si>
  <si>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</si>
  <si>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</si>
  <si>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</si>
  <si>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</si>
  <si>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</si>
  <si>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</si>
  <si>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</si>
  <si>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</si>
  <si>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</si>
  <si>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</si>
  <si>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</si>
  <si>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</si>
  <si>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</si>
  <si>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</si>
  <si>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</si>
  <si>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</si>
  <si>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</si>
  <si>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</si>
  <si>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</si>
  <si>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</si>
  <si>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</si>
  <si>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</si>
  <si>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</si>
  <si>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</si>
  <si>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</si>
  <si>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</si>
  <si>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</si>
  <si>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</si>
  <si>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</si>
  <si>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</si>
  <si>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</si>
  <si>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</si>
  <si>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</si>
  <si>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</si>
  <si>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</si>
  <si>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</si>
  <si>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</si>
  <si>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</si>
  <si>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</si>
  <si>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</si>
  <si>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</si>
  <si>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</si>
  <si>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</si>
  <si>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</si>
  <si>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</si>
  <si>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</si>
  <si>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</si>
  <si>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</si>
  <si>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</si>
  <si>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</si>
  <si>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</si>
  <si>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</si>
  <si>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</si>
  <si>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</si>
  <si>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</si>
  <si>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</si>
  <si>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</si>
  <si>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</si>
  <si>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</si>
  <si>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</si>
  <si>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</si>
  <si>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</si>
  <si>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</si>
  <si>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</si>
  <si>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</si>
  <si>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</si>
  <si>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</si>
  <si>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</si>
  <si>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</si>
  <si>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</si>
  <si>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</si>
  <si>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</si>
  <si>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</si>
  <si>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</si>
  <si>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</si>
  <si>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</si>
  <si>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</si>
  <si>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</si>
  <si>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</si>
  <si>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</si>
  <si>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</si>
  <si>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</si>
  <si>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</si>
  <si>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</si>
  <si>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</si>
  <si>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</si>
  <si>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</si>
  <si>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</si>
  <si>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</si>
  <si>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</si>
  <si>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</si>
  <si>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</si>
  <si>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</si>
  <si>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</si>
  <si>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</si>
  <si>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</si>
  <si>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</si>
  <si>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</si>
  <si>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</si>
  <si>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</si>
  <si>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</si>
  <si>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</si>
  <si>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</si>
  <si>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</si>
  <si>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</si>
  <si>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</si>
  <si>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</si>
  <si>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</si>
  <si>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</si>
  <si>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</si>
  <si>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</si>
  <si>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</si>
  <si>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</si>
  <si>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</si>
  <si>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</si>
  <si>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</si>
  <si>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</si>
  <si>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</si>
  <si>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</si>
  <si>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</si>
  <si>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</si>
  <si>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</si>
  <si>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</si>
  <si>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</si>
  <si>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</si>
  <si>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</si>
  <si>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</si>
  <si>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</si>
  <si>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</si>
  <si>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</si>
  <si>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</si>
  <si>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</si>
  <si>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</si>
  <si>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</si>
  <si>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</si>
  <si>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</si>
  <si>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</si>
  <si>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</si>
  <si>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</si>
  <si>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</si>
  <si>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</si>
  <si>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</si>
  <si>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</si>
  <si>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</si>
  <si>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</si>
  <si>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</si>
  <si>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</si>
  <si>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</si>
  <si>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</si>
  <si>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</si>
  <si>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</si>
  <si>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</si>
  <si>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</si>
  <si>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</si>
  <si>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</si>
  <si>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</si>
  <si>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</si>
  <si>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</si>
  <si>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</si>
  <si>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</si>
  <si>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</si>
  <si>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</si>
  <si>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</si>
  <si>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</si>
  <si>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</si>
  <si>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</si>
  <si>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</si>
  <si>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</si>
  <si>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</si>
  <si>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</si>
  <si>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</si>
  <si>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</si>
  <si>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</si>
  <si>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</si>
  <si>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</si>
  <si>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</si>
  <si>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</si>
  <si>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</si>
  <si>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</si>
  <si>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</si>
  <si>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</si>
  <si>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</si>
  <si>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</si>
  <si>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</si>
  <si>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</si>
  <si>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</si>
  <si>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</si>
  <si>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</si>
  <si>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</si>
  <si>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</si>
  <si>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</si>
  <si>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</si>
  <si>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</si>
  <si>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</si>
  <si>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</si>
  <si>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</si>
  <si>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</si>
  <si>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</si>
  <si>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</si>
  <si>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</si>
  <si>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</si>
  <si>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</si>
  <si>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</si>
  <si>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</si>
  <si>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</si>
  <si>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</si>
  <si>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</si>
  <si>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</si>
  <si>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</si>
  <si>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</si>
  <si>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</si>
  <si>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</si>
  <si>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</si>
  <si>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</si>
  <si>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</si>
  <si>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</si>
  <si>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</si>
  <si>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</si>
  <si>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</si>
  <si>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</si>
  <si>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</si>
  <si>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</si>
  <si>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</si>
  <si>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</si>
  <si>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</si>
  <si>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</si>
  <si>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</si>
  <si>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</si>
  <si>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</si>
  <si>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</si>
  <si>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</si>
  <si>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</si>
  <si>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</si>
  <si>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</si>
  <si>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</si>
  <si>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</si>
  <si>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</si>
  <si>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</si>
  <si>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</si>
  <si>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</si>
  <si>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</si>
  <si>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</si>
  <si>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</si>
  <si>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</si>
  <si>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</si>
  <si>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</si>
  <si>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</si>
  <si>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</si>
  <si>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</si>
  <si>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</si>
  <si>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</si>
  <si>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</si>
  <si>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</si>
  <si>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</si>
  <si>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</si>
  <si>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</si>
  <si>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</si>
  <si>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</si>
  <si>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</si>
  <si>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</si>
  <si>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</si>
  <si>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</si>
  <si>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</si>
  <si>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</si>
  <si>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</si>
  <si>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</si>
  <si>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</si>
  <si>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</si>
  <si>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</si>
  <si>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</si>
  <si>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</si>
  <si>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</si>
  <si>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</si>
  <si>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</si>
  <si>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</si>
  <si>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</si>
  <si>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</si>
  <si>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</si>
  <si>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</si>
  <si>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</si>
  <si>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</si>
  <si>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</si>
  <si>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</si>
  <si>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</si>
  <si>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</si>
  <si>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</si>
  <si>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</si>
  <si>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</si>
  <si>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</si>
  <si>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</si>
  <si>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</si>
  <si>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</si>
  <si>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</si>
  <si>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</si>
  <si>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</si>
  <si>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</si>
  <si>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</si>
  <si>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</si>
  <si>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</si>
  <si>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</si>
  <si>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</si>
  <si>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</si>
  <si>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</si>
  <si>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</si>
  <si>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</si>
  <si>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</si>
  <si>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</si>
  <si>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</si>
  <si>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</si>
  <si>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</si>
  <si>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</si>
  <si>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</si>
  <si>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</si>
  <si>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</si>
  <si>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</si>
  <si>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</si>
  <si>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</si>
  <si>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</si>
  <si>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</si>
  <si>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</si>
  <si>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</si>
  <si>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</si>
  <si>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</si>
  <si>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</si>
  <si>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</si>
  <si>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</si>
  <si>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</si>
  <si>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</si>
  <si>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</si>
  <si>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</si>
  <si>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</si>
  <si>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</si>
  <si>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</si>
  <si>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</si>
  <si>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</si>
  <si>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</si>
  <si>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</si>
  <si>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</si>
  <si>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</si>
  <si>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</si>
  <si>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</si>
  <si>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</si>
  <si>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</si>
  <si>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</si>
  <si>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</si>
  <si>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</si>
  <si>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</si>
  <si>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</si>
  <si>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</si>
  <si>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</si>
  <si>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</si>
  <si>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</si>
  <si>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</si>
  <si>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</si>
  <si>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</si>
  <si>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</si>
  <si>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</si>
  <si>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</si>
  <si>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</si>
  <si>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</si>
  <si>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</si>
  <si>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</si>
  <si>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</si>
  <si>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</si>
  <si>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</si>
  <si>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</si>
  <si>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</si>
  <si>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</si>
  <si>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</si>
  <si>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</si>
  <si>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</si>
  <si>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</si>
  <si>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</si>
  <si>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</si>
  <si>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</si>
  <si>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</si>
  <si>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</si>
  <si>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</si>
  <si>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</si>
  <si>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</si>
  <si>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</si>
  <si>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</si>
  <si>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</si>
  <si>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</si>
  <si>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</si>
  <si>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</si>
  <si>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</si>
  <si>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</si>
  <si>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</si>
  <si>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</si>
  <si>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</si>
  <si>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</si>
  <si>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</si>
  <si>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</si>
  <si>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</si>
  <si>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</si>
  <si>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</si>
  <si>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</si>
  <si>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</si>
  <si>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</si>
  <si>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</si>
  <si>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</si>
  <si>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</si>
  <si>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</si>
  <si>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</si>
  <si>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</si>
  <si>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</si>
  <si>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</si>
  <si>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</si>
  <si>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</si>
  <si>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</si>
  <si>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</si>
  <si>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</si>
  <si>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</si>
  <si>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</si>
  <si>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</si>
  <si>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</si>
  <si>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</si>
  <si>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</si>
  <si>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</si>
  <si>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</si>
  <si>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</si>
  <si>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</si>
  <si>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</si>
  <si>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</si>
  <si>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</si>
  <si>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</si>
  <si>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</si>
  <si>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</si>
  <si>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</si>
  <si>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</si>
  <si>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</si>
  <si>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</si>
  <si>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</si>
  <si>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</si>
  <si>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</si>
  <si>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</si>
  <si>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</si>
  <si>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</si>
  <si>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</si>
  <si>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</si>
  <si>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</si>
  <si>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</si>
  <si>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</si>
  <si>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</si>
  <si>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</si>
  <si>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</si>
  <si>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</si>
  <si>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</si>
  <si>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</si>
  <si>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</si>
  <si>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</si>
  <si>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</si>
  <si>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</si>
  <si>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</si>
  <si>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</si>
  <si>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</si>
  <si>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</si>
  <si>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</si>
  <si>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</si>
  <si>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</si>
  <si>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</si>
  <si>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</si>
  <si>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</si>
  <si>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</si>
  <si>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</si>
  <si>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</si>
  <si>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</si>
  <si>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</si>
  <si>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</si>
  <si>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</si>
  <si>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</si>
  <si>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</si>
  <si>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</si>
  <si>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</si>
  <si>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</si>
  <si>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</si>
  <si>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</si>
  <si>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</si>
  <si>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</si>
  <si>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</si>
  <si>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</si>
  <si>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</si>
  <si>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</si>
  <si>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</si>
  <si>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</si>
  <si>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</si>
  <si>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</si>
  <si>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</si>
  <si>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</si>
  <si>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</si>
  <si>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</si>
  <si>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</si>
  <si>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</si>
  <si>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</si>
  <si>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</si>
  <si>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</si>
  <si>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</si>
  <si>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</si>
  <si>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</si>
  <si>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</si>
  <si>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</si>
  <si>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</si>
  <si>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</si>
  <si>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</si>
  <si>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</si>
  <si>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</si>
  <si>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</si>
  <si>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</si>
  <si>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</si>
  <si>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</si>
  <si>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</si>
  <si>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</si>
  <si>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</si>
  <si>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</si>
  <si>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</si>
  <si>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</si>
  <si>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</si>
  <si>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</si>
  <si>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</si>
  <si>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</si>
  <si>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</si>
  <si>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</si>
  <si>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</si>
  <si>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</si>
  <si>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</si>
  <si>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</si>
  <si>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</si>
  <si>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</si>
  <si>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</si>
  <si>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</si>
  <si>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</si>
  <si>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</si>
  <si>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</si>
  <si>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</si>
  <si>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</si>
  <si>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</si>
  <si>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</si>
  <si>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</si>
  <si>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</si>
  <si>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</si>
  <si>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</si>
  <si>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</si>
  <si>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</si>
  <si>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</si>
  <si>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</si>
  <si>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</si>
  <si>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</si>
  <si>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</si>
  <si>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</si>
  <si>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</si>
  <si>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</si>
  <si>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</si>
  <si>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</si>
  <si>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</si>
  <si>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</si>
  <si>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</si>
  <si>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</si>
  <si>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</si>
  <si>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</si>
  <si>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</si>
  <si>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</si>
  <si>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</si>
  <si>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</si>
  <si>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</si>
  <si>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</si>
  <si>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</si>
  <si>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</si>
  <si>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</si>
  <si>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</si>
  <si>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</si>
  <si>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</si>
  <si>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</si>
  <si>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</si>
  <si>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</si>
  <si>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</si>
  <si>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</si>
  <si>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</si>
  <si>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</si>
  <si>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</si>
  <si>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</si>
  <si>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</si>
  <si>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</si>
  <si>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</si>
  <si>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</si>
  <si>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</si>
  <si>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</si>
  <si>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</si>
  <si>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</si>
  <si>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</si>
  <si>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</si>
  <si>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</si>
  <si>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</si>
  <si>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</si>
  <si>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</si>
  <si>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</si>
  <si>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</si>
  <si>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</si>
  <si>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</si>
  <si>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</si>
  <si>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</si>
  <si>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</si>
  <si>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</si>
  <si>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</si>
  <si>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</si>
  <si>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</si>
  <si>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</si>
  <si>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</si>
  <si>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</si>
  <si>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</si>
  <si>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</si>
  <si>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</si>
  <si>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</si>
  <si>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</si>
  <si>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</si>
  <si>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</si>
  <si>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</si>
  <si>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</si>
  <si>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</si>
  <si>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</si>
  <si>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</si>
  <si>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</si>
  <si>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</si>
  <si>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</si>
  <si>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</si>
  <si>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</si>
  <si>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</si>
  <si>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</si>
  <si>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</si>
  <si>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</si>
  <si>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</si>
  <si>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</si>
  <si>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</si>
  <si>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</si>
  <si>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</si>
  <si>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</si>
  <si>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</si>
  <si>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</si>
  <si>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</si>
  <si>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</si>
  <si>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</si>
  <si>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</si>
  <si>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</si>
  <si>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</si>
  <si>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</si>
  <si>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</si>
  <si>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</si>
  <si>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</si>
  <si>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</si>
  <si>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</si>
  <si>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</si>
  <si>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</si>
  <si>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</si>
  <si>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</si>
  <si>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</si>
  <si>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</si>
  <si>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</si>
  <si>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</si>
  <si>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</si>
  <si>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</si>
  <si>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</si>
  <si>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</si>
  <si>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</si>
  <si>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</si>
  <si>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</si>
  <si>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</si>
  <si>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</si>
  <si>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</si>
  <si>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</si>
  <si>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</si>
  <si>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</si>
  <si>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</si>
  <si>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</si>
  <si>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</si>
  <si>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</si>
  <si>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</si>
  <si>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</si>
  <si>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</si>
  <si>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</si>
  <si>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</si>
  <si>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</si>
  <si>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</si>
  <si>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</si>
  <si>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</si>
  <si>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</si>
  <si>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</si>
  <si>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</si>
  <si>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</si>
  <si>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</si>
  <si>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</si>
  <si>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</si>
  <si>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</si>
  <si>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</si>
  <si>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</si>
  <si>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</si>
  <si>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</si>
  <si>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</si>
  <si>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</si>
  <si>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</si>
  <si>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</si>
  <si>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</si>
  <si>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</si>
  <si>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</si>
  <si>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</si>
  <si>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</si>
  <si>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</si>
  <si>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</si>
  <si>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</si>
  <si>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</si>
  <si>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</si>
  <si>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</si>
  <si>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</si>
  <si>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</si>
  <si>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</si>
  <si>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</si>
  <si>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</si>
  <si>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</si>
  <si>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</si>
  <si>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</si>
  <si>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</si>
  <si>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</si>
  <si>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</si>
  <si>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</si>
  <si>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</si>
  <si>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</si>
  <si>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</si>
  <si>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</si>
  <si>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</si>
  <si>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</si>
  <si>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</si>
  <si>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</si>
  <si>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</si>
  <si>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</si>
  <si>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</si>
  <si>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</si>
  <si>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</si>
  <si>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</si>
  <si>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</si>
  <si>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</si>
  <si>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</si>
  <si>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</si>
  <si>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</si>
  <si>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</si>
  <si>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</si>
  <si>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</si>
  <si>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</si>
  <si>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</si>
  <si>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</si>
  <si>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</si>
  <si>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</si>
  <si>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</si>
  <si>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</si>
  <si>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</si>
  <si>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</si>
  <si>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</si>
  <si>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</si>
  <si>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</si>
  <si>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</si>
  <si>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</si>
  <si>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</si>
  <si>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</si>
  <si>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</si>
  <si>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</si>
  <si>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</si>
  <si>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</si>
  <si>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</si>
  <si>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</si>
  <si>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</si>
  <si>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</si>
  <si>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</si>
  <si>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</si>
  <si>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</si>
  <si>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</si>
  <si>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</si>
  <si>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</si>
  <si>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</si>
  <si>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</si>
  <si>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</si>
  <si>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</si>
  <si>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</si>
  <si>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</si>
  <si>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</si>
  <si>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</si>
  <si>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</si>
  <si>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</si>
  <si>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</si>
  <si>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</si>
  <si>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</si>
  <si>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</si>
  <si>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</si>
  <si>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</si>
  <si>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</si>
  <si>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</si>
  <si>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</si>
  <si>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</si>
  <si>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</si>
  <si>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</si>
  <si>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</si>
  <si>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</si>
  <si>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</si>
  <si>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</si>
  <si>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</si>
  <si>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</si>
  <si>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</si>
  <si>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</si>
  <si>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</si>
  <si>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</si>
  <si>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</si>
  <si>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</si>
  <si>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</si>
  <si>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</si>
  <si>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</si>
  <si>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</si>
  <si>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</si>
  <si>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</si>
  <si>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</si>
  <si>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</si>
  <si>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</si>
  <si>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</si>
  <si>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</si>
  <si>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</si>
  <si>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</si>
  <si>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</si>
  <si>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</si>
  <si>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</si>
  <si>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</si>
  <si>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</si>
  <si>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</si>
  <si>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</si>
  <si>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</si>
  <si>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</si>
  <si>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</si>
  <si>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</si>
  <si>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</si>
  <si>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</si>
  <si>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</si>
  <si>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</si>
  <si>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</si>
  <si>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</si>
  <si>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</si>
  <si>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</si>
  <si>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</si>
  <si>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</si>
  <si>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</si>
  <si>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</si>
  <si>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</si>
  <si>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</si>
  <si>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</si>
  <si>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</si>
  <si>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</si>
  <si>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</si>
  <si>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</si>
  <si>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</si>
  <si>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</si>
  <si>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</si>
  <si>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</si>
  <si>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</si>
  <si>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</si>
  <si>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</si>
  <si>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</si>
  <si>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</si>
  <si>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</si>
  <si>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</si>
  <si>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</si>
  <si>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</si>
  <si>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</si>
  <si>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</si>
  <si>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</si>
  <si>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</si>
  <si>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</si>
  <si>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</si>
  <si>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</si>
  <si>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</si>
  <si>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</si>
  <si>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</si>
  <si>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</si>
  <si>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</si>
  <si>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</si>
  <si>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</si>
  <si>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</si>
  <si>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</si>
  <si>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</si>
  <si>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</si>
  <si>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</si>
  <si>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</si>
  <si>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</si>
  <si>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</si>
  <si>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</si>
  <si>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</si>
  <si>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</si>
  <si>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</si>
  <si>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</si>
  <si>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</si>
  <si>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</si>
  <si>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</si>
  <si>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</si>
  <si>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</si>
  <si>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</si>
  <si>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</si>
  <si>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</si>
  <si>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</si>
  <si>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</si>
  <si>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</si>
  <si>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</si>
  <si>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</si>
  <si>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</si>
  <si>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</si>
  <si>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</si>
  <si>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</si>
  <si>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</si>
  <si>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</si>
  <si>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</si>
  <si>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</si>
  <si>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</si>
  <si>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</si>
  <si>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</si>
  <si>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</si>
  <si>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</si>
  <si>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</si>
  <si>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</si>
  <si>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</si>
  <si>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</si>
  <si>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</si>
  <si>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</si>
  <si>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</si>
  <si>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</si>
  <si>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</si>
  <si>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</si>
  <si>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</si>
  <si>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</si>
  <si>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</si>
  <si>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</si>
  <si>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</si>
  <si>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</si>
  <si>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</si>
  <si>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</si>
  <si>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</si>
  <si>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</si>
  <si>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</si>
  <si>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</si>
  <si>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</si>
  <si>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</si>
  <si>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</si>
  <si>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</si>
  <si>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</si>
  <si>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</si>
  <si>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</si>
  <si>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</si>
  <si>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</si>
  <si>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</si>
  <si>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</si>
  <si>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</si>
  <si>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</si>
  <si>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</si>
  <si>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</si>
  <si>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</si>
  <si>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</si>
  <si>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</si>
  <si>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</si>
  <si>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</si>
  <si>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</si>
  <si>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</si>
  <si>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</si>
  <si>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</si>
  <si>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</si>
  <si>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</si>
  <si>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</si>
  <si>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</si>
  <si>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</si>
  <si>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</si>
  <si>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</si>
  <si>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</si>
  <si>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</si>
  <si>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</si>
  <si>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</si>
  <si>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</si>
  <si>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</si>
  <si>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</si>
  <si>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</si>
  <si>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</si>
  <si>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</si>
  <si>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</si>
  <si>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</si>
  <si>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</si>
  <si>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</si>
  <si>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</si>
  <si>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</si>
  <si>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</si>
  <si>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</si>
  <si>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</si>
  <si>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</si>
  <si>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</si>
  <si>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</si>
  <si>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</si>
  <si>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</si>
  <si>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</si>
  <si>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</si>
  <si>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</si>
  <si>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</si>
  <si>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</si>
  <si>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</si>
  <si>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</si>
  <si>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</si>
  <si>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</si>
  <si>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</si>
  <si>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</si>
  <si>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</si>
  <si>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</si>
  <si>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</si>
  <si>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</si>
  <si>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</si>
  <si>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</si>
  <si>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</si>
  <si>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</si>
  <si>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</si>
  <si>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</si>
  <si>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</si>
  <si>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</si>
  <si>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</si>
  <si>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</si>
  <si>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</si>
  <si>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</si>
  <si>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</si>
  <si>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</si>
  <si>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</si>
  <si>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</si>
  <si>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</si>
  <si>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</si>
  <si>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</si>
  <si>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</si>
  <si>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</si>
  <si>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</si>
  <si>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</si>
  <si>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</si>
  <si>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</si>
  <si>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</si>
  <si>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</si>
  <si>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</si>
  <si>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</si>
  <si>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</si>
  <si>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</si>
  <si>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</si>
  <si>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</si>
  <si>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</si>
  <si>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</si>
  <si>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</si>
  <si>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</si>
  <si>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</si>
  <si>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</si>
  <si>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</si>
  <si>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</si>
  <si>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</si>
  <si>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</si>
  <si>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</si>
  <si>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</si>
  <si>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</si>
  <si>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</si>
  <si>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</si>
  <si>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</si>
  <si>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</si>
  <si>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</si>
  <si>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</si>
  <si>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</si>
  <si>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</si>
  <si>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</si>
  <si>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</si>
  <si>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</si>
  <si>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</si>
  <si>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</si>
  <si>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</si>
  <si>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</si>
  <si>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</si>
  <si>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</si>
  <si>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</si>
  <si>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</si>
  <si>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</si>
  <si>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</si>
  <si>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</si>
  <si>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</si>
  <si>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</si>
  <si>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</si>
  <si>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</si>
  <si>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</si>
  <si>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</si>
  <si>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</si>
  <si>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</si>
  <si>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</si>
  <si>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</si>
  <si>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</si>
  <si>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</si>
  <si>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</si>
  <si>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</si>
  <si>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</si>
  <si>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</si>
  <si>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</si>
  <si>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</si>
  <si>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</si>
  <si>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</si>
  <si>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</si>
  <si>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</si>
  <si>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</si>
  <si>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</si>
  <si>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</si>
  <si>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</si>
  <si>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</si>
  <si>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</si>
  <si>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</si>
  <si>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</si>
  <si>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</si>
  <si>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</si>
  <si>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</si>
  <si>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</si>
  <si>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</si>
  <si>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</si>
  <si>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</si>
  <si>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</si>
  <si>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</si>
  <si>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</si>
  <si>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</si>
  <si>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</si>
  <si>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</si>
  <si>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</si>
  <si>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</si>
  <si>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</si>
  <si>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</si>
  <si>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</si>
  <si>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</si>
  <si>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</si>
  <si>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</si>
  <si>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</si>
  <si>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</si>
  <si>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</si>
  <si>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</si>
  <si>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</si>
  <si>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</si>
  <si>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</si>
  <si>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</si>
  <si>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</si>
  <si>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</si>
  <si>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</si>
  <si>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</si>
  <si>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</si>
  <si>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</si>
  <si>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</si>
  <si>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</si>
  <si>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</si>
  <si>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</si>
  <si>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</si>
  <si>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</si>
  <si>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</si>
  <si>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</si>
  <si>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</si>
  <si>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</si>
  <si>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</si>
  <si>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</si>
  <si>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</si>
  <si>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</si>
  <si>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</si>
  <si>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</si>
  <si>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</si>
  <si>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</si>
  <si>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</si>
  <si>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</si>
  <si>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</si>
  <si>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</si>
  <si>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</si>
  <si>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</si>
  <si>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</si>
  <si>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</si>
  <si>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</si>
  <si>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</si>
  <si>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</si>
  <si>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</si>
  <si>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</si>
  <si>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</si>
  <si>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</si>
  <si>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</si>
  <si>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</si>
  <si>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</si>
  <si>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</si>
  <si>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</si>
  <si>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</si>
  <si>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</si>
  <si>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</si>
  <si>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</si>
  <si>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</si>
  <si>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</si>
  <si>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</si>
  <si>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</si>
  <si>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</si>
  <si>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</si>
  <si>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</si>
  <si>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</si>
  <si>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</si>
  <si>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</si>
  <si>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</si>
  <si>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</si>
  <si>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</si>
  <si>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</si>
  <si>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</si>
  <si>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</si>
  <si>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</si>
  <si>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</si>
  <si>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</si>
  <si>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</si>
  <si>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</si>
  <si>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</si>
  <si>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</si>
  <si>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</si>
  <si>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</si>
  <si>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</si>
  <si>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</si>
  <si>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</si>
  <si>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</si>
  <si>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</si>
  <si>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</si>
  <si>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</si>
  <si>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</si>
  <si>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</si>
  <si>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</si>
  <si>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</si>
  <si>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</si>
  <si>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</si>
  <si>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</si>
  <si>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</si>
  <si>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</si>
  <si>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</si>
  <si>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</si>
  <si>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</si>
  <si>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</si>
  <si>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</si>
  <si>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</si>
  <si>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</si>
  <si>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</si>
  <si>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</si>
  <si>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</si>
  <si>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</si>
  <si>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</si>
  <si>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</si>
  <si>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</si>
  <si>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</si>
  <si>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</si>
  <si>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</si>
  <si>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</si>
  <si>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</si>
  <si>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</si>
  <si>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</si>
  <si>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</si>
  <si>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</si>
  <si>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</si>
  <si>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</si>
  <si>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</si>
  <si>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</si>
  <si>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</si>
  <si>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</si>
  <si>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</si>
  <si>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</si>
  <si>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</si>
  <si>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</si>
  <si>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</si>
  <si>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</si>
  <si>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</si>
  <si>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</si>
  <si>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</si>
  <si>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</si>
  <si>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</si>
  <si>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</si>
  <si>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</si>
  <si>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</si>
  <si>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</si>
  <si>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</si>
  <si>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</si>
  <si>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</si>
  <si>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</si>
  <si>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</si>
  <si>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</si>
  <si>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</si>
  <si>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</si>
  <si>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</si>
  <si>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</si>
  <si>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</si>
  <si>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</si>
  <si>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</si>
  <si>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</si>
  <si>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</si>
  <si>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</si>
  <si>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</si>
  <si>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</si>
  <si>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</si>
  <si>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</si>
  <si>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</si>
  <si>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</si>
  <si>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</si>
  <si>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</si>
  <si>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</si>
  <si>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</si>
  <si>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</si>
  <si>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</si>
  <si>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</si>
  <si>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</si>
  <si>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</si>
  <si>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</si>
  <si>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</si>
  <si>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</si>
  <si>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</si>
  <si>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</si>
  <si>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</si>
  <si>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</si>
  <si>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</si>
  <si>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</si>
  <si>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</si>
  <si>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</si>
  <si>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</si>
  <si>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</si>
  <si>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</si>
  <si>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</si>
  <si>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</si>
  <si>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</si>
  <si>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</si>
  <si>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</si>
  <si>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</si>
  <si>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</si>
  <si>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</si>
  <si>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</si>
  <si>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</si>
  <si>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</si>
  <si>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</si>
  <si>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</si>
  <si>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</si>
  <si>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</si>
  <si>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</si>
  <si>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</si>
  <si>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</si>
  <si>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</si>
  <si>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</si>
  <si>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</si>
  <si>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</si>
  <si>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</si>
  <si>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</si>
  <si>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</si>
  <si>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</si>
  <si>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</si>
  <si>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</si>
  <si>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</si>
  <si>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</si>
  <si>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</si>
  <si>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</si>
  <si>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</si>
  <si>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</si>
  <si>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</si>
  <si>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</si>
  <si>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</si>
  <si>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</si>
  <si>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</si>
  <si>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</si>
  <si>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</si>
  <si>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</si>
  <si>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</si>
  <si>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</si>
  <si>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</si>
  <si>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</si>
  <si>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</si>
  <si>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</si>
  <si>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</si>
  <si>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</si>
  <si>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</si>
  <si>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</si>
  <si>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</si>
  <si>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</si>
  <si>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</si>
  <si>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</si>
  <si>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</si>
  <si>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</si>
  <si>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</si>
  <si>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</si>
  <si>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</si>
  <si>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</si>
  <si>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</si>
  <si>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</si>
  <si>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</si>
  <si>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</si>
  <si>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</si>
  <si>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</si>
  <si>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</si>
  <si>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</si>
  <si>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</si>
  <si>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</si>
  <si>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</si>
  <si>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</si>
  <si>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</si>
  <si>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</si>
  <si>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</si>
  <si>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</si>
  <si>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</si>
  <si>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</si>
  <si>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</si>
  <si>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</si>
  <si>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</si>
  <si>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</si>
  <si>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</si>
  <si>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</si>
  <si>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</si>
  <si>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</si>
  <si>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</si>
  <si>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</si>
  <si>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</si>
  <si>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</si>
  <si>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</si>
  <si>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</si>
  <si>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</si>
  <si>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</si>
  <si>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</si>
  <si>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</si>
  <si>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</si>
  <si>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</si>
  <si>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</si>
  <si>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</si>
  <si>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</si>
  <si>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</si>
  <si>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</si>
  <si>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</si>
  <si>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</si>
  <si>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</si>
  <si>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</si>
  <si>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</si>
  <si>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</si>
  <si>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</si>
  <si>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</si>
  <si>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</si>
  <si>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</si>
  <si>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</si>
  <si>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</si>
  <si>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</si>
  <si>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</si>
  <si>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</si>
  <si>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</si>
  <si>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</si>
  <si>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</si>
  <si>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</si>
  <si>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</si>
  <si>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</si>
  <si>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</si>
  <si>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</si>
  <si>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</si>
  <si>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</si>
  <si>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</si>
  <si>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</si>
  <si>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</si>
  <si>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</si>
  <si>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</si>
  <si>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</si>
  <si>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</si>
  <si>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</si>
  <si>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</si>
  <si>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</si>
  <si>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</si>
  <si>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</si>
  <si>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</si>
  <si>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</si>
  <si>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</si>
  <si>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</si>
  <si>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</si>
  <si>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</si>
  <si>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</si>
  <si>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</si>
  <si>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</si>
  <si>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</si>
  <si>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</si>
  <si>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</si>
  <si>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</si>
  <si>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</si>
  <si>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</si>
  <si>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</si>
  <si>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</si>
  <si>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</si>
  <si>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</si>
  <si>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</si>
  <si>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</si>
  <si>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</si>
  <si>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</si>
  <si>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</si>
  <si>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</si>
  <si>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</si>
  <si>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</si>
  <si>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</si>
  <si>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</si>
  <si>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</si>
  <si>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</si>
  <si>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</si>
  <si>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</si>
  <si>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</si>
  <si>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</si>
  <si>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</si>
  <si>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</si>
  <si>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</si>
  <si>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</si>
  <si>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</si>
  <si>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</si>
  <si>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</si>
  <si>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</si>
  <si>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</si>
  <si>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</si>
  <si>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</si>
  <si>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</si>
  <si>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</si>
  <si>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</si>
  <si>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</si>
  <si>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</si>
  <si>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</si>
  <si>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</si>
  <si>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</si>
  <si>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</si>
  <si>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</si>
  <si>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</si>
  <si>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</si>
  <si>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</si>
  <si>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</si>
  <si>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</si>
  <si>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</si>
  <si>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</si>
  <si>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</si>
  <si>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</si>
  <si>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</si>
  <si>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</si>
  <si>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</si>
  <si>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</si>
  <si>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</si>
  <si>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</si>
  <si>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</si>
  <si>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</si>
  <si>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</si>
  <si>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</si>
  <si>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</si>
  <si>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</si>
  <si>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</si>
  <si>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</si>
  <si>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</si>
  <si>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</si>
  <si>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</si>
  <si>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</si>
  <si>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</si>
  <si>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</si>
  <si>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</si>
  <si>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</si>
  <si>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</si>
  <si>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</si>
  <si>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</si>
  <si>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</si>
  <si>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</si>
  <si>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</si>
  <si>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</si>
  <si>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</si>
  <si>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</si>
  <si>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</si>
  <si>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</si>
  <si>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</si>
  <si>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</si>
  <si>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</si>
  <si>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</si>
  <si>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</si>
  <si>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</si>
  <si>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</si>
  <si>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</si>
  <si>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</si>
  <si>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</si>
  <si>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</si>
  <si>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</si>
  <si>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</si>
  <si>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</si>
  <si>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</si>
  <si>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</si>
  <si>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</si>
  <si>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</si>
  <si>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</si>
  <si>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</si>
  <si>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</si>
  <si>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</si>
  <si>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</si>
  <si>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</si>
  <si>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</si>
  <si>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</si>
  <si>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</si>
  <si>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</si>
  <si>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</si>
  <si>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</si>
  <si>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</si>
  <si>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</si>
  <si>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</si>
  <si>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</si>
  <si>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</si>
  <si>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</si>
  <si>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</si>
  <si>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</si>
  <si>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</si>
  <si>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</si>
  <si>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</si>
  <si>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</si>
  <si>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</si>
  <si>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</si>
  <si>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</si>
  <si>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</si>
  <si>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</si>
  <si>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</si>
  <si>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</si>
  <si>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</si>
  <si>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</si>
  <si>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</si>
  <si>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</si>
  <si>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</si>
  <si>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</si>
  <si>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</si>
  <si>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</si>
  <si>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</si>
  <si>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</si>
  <si>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</si>
  <si>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</si>
  <si>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</si>
  <si>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</si>
  <si>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</si>
  <si>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</si>
  <si>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</si>
  <si>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</si>
  <si>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</si>
  <si>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</si>
  <si>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</si>
  <si>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</si>
  <si>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</si>
  <si>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</si>
  <si>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</si>
  <si>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</si>
  <si>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</si>
  <si>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</si>
  <si>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</si>
  <si>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</si>
  <si>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</si>
  <si>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</si>
  <si>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</si>
  <si>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</si>
  <si>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</si>
  <si>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</si>
  <si>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</si>
  <si>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</si>
  <si>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</si>
  <si>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</si>
  <si>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</si>
  <si>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</si>
  <si>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</si>
  <si>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</si>
  <si>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</si>
  <si>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</si>
  <si>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</si>
  <si>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</si>
  <si>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</si>
  <si>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</si>
  <si>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</si>
  <si>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</si>
  <si>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</si>
  <si>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</si>
  <si>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</si>
  <si>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</si>
  <si>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</si>
  <si>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</si>
  <si>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</si>
  <si>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</si>
  <si>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</si>
  <si>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</si>
  <si>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</si>
  <si>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</si>
  <si>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</si>
  <si>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</si>
  <si>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</si>
  <si>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</si>
  <si>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</si>
  <si>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</si>
  <si>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</si>
  <si>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</si>
  <si>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</si>
  <si>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</si>
  <si>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</si>
  <si>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</si>
  <si>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</si>
  <si>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</si>
  <si>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</si>
  <si>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</si>
  <si>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</si>
  <si>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</si>
  <si>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</si>
  <si>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</si>
  <si>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</si>
  <si>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</si>
  <si>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</si>
  <si>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</si>
  <si>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</si>
  <si>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</si>
  <si>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</si>
  <si>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</si>
  <si>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</si>
  <si>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</si>
  <si>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</si>
  <si>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</si>
  <si>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</si>
  <si>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</si>
  <si>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</si>
  <si>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</si>
  <si>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</si>
  <si>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</si>
  <si>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</si>
  <si>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</si>
  <si>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</si>
  <si>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</si>
  <si>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</si>
  <si>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</si>
  <si>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</si>
  <si>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</si>
  <si>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</si>
  <si>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</si>
  <si>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</si>
  <si>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</si>
  <si>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</si>
  <si>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</si>
  <si>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</si>
  <si>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</si>
  <si>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</si>
  <si>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</si>
  <si>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</si>
  <si>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</si>
  <si>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</si>
  <si>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</si>
  <si>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</si>
  <si>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</si>
  <si>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</si>
  <si>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</si>
  <si>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</si>
  <si>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</si>
  <si>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</si>
  <si>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</si>
  <si>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</si>
  <si>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</si>
  <si>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</si>
  <si>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</si>
  <si>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</si>
  <si>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</si>
  <si>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</si>
  <si>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</si>
  <si>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</si>
  <si>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</si>
  <si>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</si>
  <si>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</si>
  <si>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</si>
  <si>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</si>
  <si>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</si>
  <si>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</si>
  <si>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</si>
  <si>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</si>
  <si>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</si>
  <si>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</si>
  <si>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</si>
  <si>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</si>
  <si>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</si>
  <si>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</si>
  <si>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</si>
  <si>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</si>
  <si>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</si>
  <si>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</si>
  <si>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</si>
  <si>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</si>
  <si>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</si>
  <si>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</si>
  <si>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</si>
  <si>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</si>
  <si>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</si>
  <si>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</si>
  <si>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</si>
  <si>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</si>
  <si>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</si>
  <si>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</si>
  <si>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</si>
  <si>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</si>
  <si>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</si>
  <si>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</si>
  <si>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</si>
  <si>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</si>
  <si>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</si>
  <si>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</si>
  <si>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</si>
  <si>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</si>
  <si>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</si>
  <si>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</si>
  <si>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</si>
  <si>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</si>
  <si>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</si>
  <si>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</si>
  <si>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</si>
  <si>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</si>
  <si>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</si>
  <si>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</si>
  <si>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</si>
  <si>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</si>
  <si>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</si>
  <si>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</si>
  <si>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</si>
  <si>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</si>
  <si>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</si>
  <si>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</si>
  <si>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</si>
  <si>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</si>
  <si>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</si>
  <si>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</si>
  <si>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</si>
  <si>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</si>
  <si>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</si>
  <si>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</si>
  <si>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</si>
  <si>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</si>
  <si>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</si>
  <si>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</si>
  <si>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</si>
  <si>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</si>
  <si>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</si>
  <si>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</si>
  <si>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</si>
  <si>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</si>
  <si>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</si>
  <si>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</si>
  <si>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</si>
  <si>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</si>
  <si>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</si>
  <si>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</si>
  <si>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</si>
  <si>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</si>
  <si>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</si>
  <si>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</si>
  <si>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</si>
  <si>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</si>
  <si>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</si>
  <si>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</si>
  <si>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</si>
  <si>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</si>
  <si>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</si>
  <si>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</si>
  <si>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</si>
  <si>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</si>
  <si>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</si>
  <si>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</si>
  <si>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</si>
  <si>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</si>
  <si>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</si>
  <si>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</si>
  <si>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</si>
  <si>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</si>
  <si>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</si>
  <si>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</si>
  <si>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</si>
  <si>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</si>
  <si>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</si>
  <si>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</si>
  <si>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</si>
  <si>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</si>
  <si>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</si>
  <si>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</si>
  <si>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</si>
  <si>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</si>
  <si>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</si>
  <si>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</si>
  <si>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</si>
  <si>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</si>
  <si>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</si>
  <si>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</si>
  <si>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</si>
  <si>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</si>
  <si>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</si>
  <si>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</si>
  <si>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</si>
  <si>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</si>
  <si>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</si>
  <si>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</si>
  <si>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</si>
  <si>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</si>
  <si>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</si>
  <si>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</si>
  <si>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</si>
  <si>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</si>
  <si>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</si>
  <si>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</si>
  <si>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</si>
  <si>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</si>
  <si>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</si>
  <si>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</si>
  <si>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</si>
  <si>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</si>
  <si>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</si>
  <si>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</si>
  <si>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</si>
  <si>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</si>
  <si>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</si>
  <si>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</si>
  <si>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</si>
  <si>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</si>
  <si>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</si>
  <si>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</si>
  <si>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</si>
  <si>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</si>
  <si>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</si>
  <si>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</si>
  <si>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</si>
  <si>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</si>
  <si>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</si>
  <si>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</si>
  <si>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</si>
  <si>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</si>
  <si>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</si>
  <si>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</si>
  <si>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</si>
  <si>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</si>
  <si>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</si>
  <si>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</si>
  <si>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</si>
  <si>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</si>
  <si>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</si>
  <si>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</si>
  <si>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</si>
  <si>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</si>
  <si>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</si>
  <si>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</si>
  <si>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</si>
  <si>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</si>
  <si>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</si>
  <si>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</si>
  <si>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</si>
  <si>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</si>
  <si>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</si>
  <si>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</si>
  <si>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</si>
  <si>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</si>
  <si>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</si>
  <si>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</si>
  <si>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</si>
  <si>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</si>
  <si>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</si>
  <si>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</si>
  <si>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</si>
  <si>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</si>
  <si>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</si>
  <si>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</si>
  <si>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</si>
  <si>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</si>
  <si>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</si>
  <si>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</si>
  <si>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</si>
  <si>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</si>
  <si>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</si>
  <si>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</si>
  <si>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</si>
  <si>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</si>
  <si>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</si>
  <si>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</si>
  <si>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</si>
  <si>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</si>
  <si>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</si>
  <si>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</si>
  <si>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</si>
  <si>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</si>
  <si>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</si>
  <si>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</si>
  <si>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</si>
  <si>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</si>
  <si>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</si>
  <si>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</si>
  <si>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</si>
  <si>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</si>
  <si>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</si>
  <si>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</si>
  <si>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</si>
  <si>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</si>
  <si>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</si>
  <si>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</si>
  <si>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</si>
  <si>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</si>
  <si>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</si>
  <si>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</si>
  <si>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</si>
  <si>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</si>
  <si>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</si>
  <si>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</si>
  <si>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</si>
  <si>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</si>
  <si>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</si>
  <si>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</si>
  <si>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</si>
  <si>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</si>
  <si>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</si>
  <si>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</si>
  <si>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</si>
  <si>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</si>
  <si>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</si>
  <si>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</si>
  <si>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</si>
  <si>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</si>
  <si>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</si>
  <si>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</si>
  <si>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</si>
  <si>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</si>
  <si>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</si>
  <si>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</si>
  <si>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</si>
  <si>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</si>
  <si>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</si>
  <si>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</si>
  <si>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</si>
  <si>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</si>
  <si>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</si>
  <si>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</si>
  <si>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</si>
  <si>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</si>
  <si>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</si>
  <si>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</si>
  <si>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</si>
  <si>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</si>
  <si>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</si>
  <si>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</si>
  <si>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</si>
  <si>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</si>
  <si>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</si>
  <si>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</si>
  <si>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</si>
  <si>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</si>
  <si>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</si>
  <si>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</si>
  <si>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</si>
  <si>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</si>
  <si>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</si>
  <si>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</si>
  <si>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</si>
  <si>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</si>
  <si>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</si>
  <si>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</si>
  <si>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</si>
  <si>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</si>
  <si>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</si>
  <si>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</si>
  <si>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</si>
  <si>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</si>
  <si>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</si>
  <si>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</si>
  <si>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</si>
  <si>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</si>
  <si>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</si>
  <si>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</si>
  <si>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</si>
  <si>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</si>
  <si>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</si>
  <si>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</si>
  <si>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</si>
  <si>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</si>
  <si>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</si>
  <si>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</si>
  <si>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</si>
  <si>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</si>
  <si>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</si>
  <si>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</si>
  <si>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</si>
  <si>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</si>
  <si>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</si>
  <si>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</si>
  <si>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</si>
  <si>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</si>
  <si>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</si>
  <si>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</si>
  <si>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</si>
  <si>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</si>
  <si>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</si>
  <si>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</si>
  <si>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</si>
  <si>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</si>
  <si>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</si>
  <si>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</si>
  <si>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</si>
  <si>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</si>
  <si>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</si>
  <si>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</si>
  <si>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</si>
  <si>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</si>
  <si>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</si>
  <si>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</si>
  <si>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</si>
  <si>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</si>
  <si>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</si>
  <si>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</si>
  <si>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</si>
  <si>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</si>
  <si>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</si>
  <si>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</si>
  <si>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</si>
  <si>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</si>
  <si>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</si>
  <si>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</si>
  <si>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</si>
  <si>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</si>
  <si>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</si>
  <si>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</si>
  <si>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</si>
  <si>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</si>
  <si>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</si>
  <si>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</si>
  <si>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</si>
  <si>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</si>
  <si>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</si>
  <si>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</si>
  <si>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</si>
  <si>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</si>
  <si>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</si>
  <si>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</si>
  <si>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</si>
  <si>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</si>
  <si>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</si>
  <si>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</si>
  <si>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</si>
  <si>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</si>
  <si>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</si>
  <si>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</si>
  <si>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</si>
  <si>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</si>
  <si>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</si>
  <si>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</si>
  <si>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</si>
  <si>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</si>
  <si>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</si>
  <si>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</si>
  <si>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</si>
  <si>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</si>
  <si>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</si>
  <si>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</si>
  <si>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</si>
  <si>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</si>
  <si>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</si>
  <si>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</si>
  <si>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</si>
  <si>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</si>
  <si>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</si>
  <si>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</si>
  <si>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</si>
  <si>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</si>
  <si>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</si>
  <si>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</si>
  <si>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</si>
  <si>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</si>
  <si>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</si>
  <si>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</si>
  <si>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</si>
  <si>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</si>
  <si>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</si>
  <si>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</si>
  <si>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</si>
  <si>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</si>
  <si>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</si>
  <si>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</si>
  <si>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</si>
  <si>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</si>
  <si>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</si>
  <si>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</si>
  <si>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</si>
  <si>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</si>
  <si>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</si>
  <si>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</si>
  <si>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</si>
  <si>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</si>
  <si>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</si>
  <si>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</si>
  <si>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</si>
  <si>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</si>
  <si>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</si>
  <si>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</si>
  <si>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</si>
  <si>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</si>
  <si>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</si>
  <si>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</si>
  <si>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</si>
  <si>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</si>
  <si>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</si>
  <si>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</si>
  <si>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</si>
  <si>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</si>
  <si>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</si>
  <si>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</si>
  <si>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</si>
  <si>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</si>
  <si>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</si>
  <si>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</si>
  <si>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</si>
  <si>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</si>
  <si>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</si>
  <si>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</si>
  <si>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</si>
  <si>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</si>
  <si>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</si>
  <si>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</si>
  <si>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</si>
  <si>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</si>
  <si>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</si>
  <si>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</si>
  <si>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</si>
  <si>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</si>
  <si>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</si>
  <si>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</si>
  <si>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</si>
  <si>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</si>
  <si>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</si>
  <si>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</si>
  <si>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</si>
  <si>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</si>
  <si>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</si>
  <si>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</si>
  <si>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</si>
  <si>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</si>
  <si>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</si>
  <si>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</si>
  <si>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</si>
  <si>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</si>
  <si>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</si>
  <si>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</si>
  <si>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</si>
  <si>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</si>
  <si>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</si>
  <si>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</si>
  <si>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</si>
  <si>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</si>
  <si>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</si>
  <si>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</si>
  <si>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</si>
  <si>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</si>
  <si>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</si>
  <si>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</si>
  <si>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</si>
  <si>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</si>
  <si>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</si>
  <si>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</si>
  <si>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</si>
  <si>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</si>
  <si>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</si>
  <si>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</si>
  <si>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</si>
  <si>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</si>
  <si>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</si>
  <si>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</si>
  <si>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</si>
  <si>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</si>
  <si>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</si>
  <si>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</si>
  <si>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</si>
  <si>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</si>
  <si>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</si>
  <si>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</si>
  <si>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</si>
  <si>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</si>
  <si>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</si>
  <si>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</si>
  <si>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</si>
  <si>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</si>
  <si>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</si>
  <si>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</si>
  <si>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</si>
  <si>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</si>
  <si>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</si>
  <si>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</si>
  <si>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</si>
  <si>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</si>
  <si>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</si>
  <si>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</si>
  <si>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</si>
  <si>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</si>
  <si>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</si>
  <si>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</si>
  <si>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</si>
  <si>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</si>
  <si>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</si>
  <si>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</si>
  <si>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</si>
  <si>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</si>
  <si>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</si>
  <si>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</si>
  <si>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</si>
  <si>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</si>
  <si>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</si>
  <si>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</si>
  <si>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</si>
  <si>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</si>
  <si>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</si>
  <si>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</si>
  <si>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</si>
  <si>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</si>
  <si>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</si>
  <si>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</si>
  <si>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</si>
  <si>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</si>
  <si>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</si>
  <si>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</si>
  <si>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</si>
  <si>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</si>
  <si>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</si>
  <si>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</si>
  <si>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</si>
  <si>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</si>
  <si>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</si>
  <si>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</si>
  <si>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</si>
  <si>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</si>
  <si>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</si>
  <si>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</si>
  <si>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</si>
  <si>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</si>
  <si>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</si>
  <si>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</si>
  <si>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</si>
  <si>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</si>
  <si>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</si>
  <si>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</si>
  <si>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</si>
  <si>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</si>
  <si>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</si>
  <si>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</si>
  <si>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</si>
  <si>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</si>
  <si>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</si>
  <si>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</si>
  <si>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</si>
  <si>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</si>
  <si>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</si>
  <si>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</si>
  <si>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</si>
  <si>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</si>
  <si>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</si>
  <si>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</si>
  <si>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</si>
  <si>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</si>
  <si>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</si>
  <si>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</si>
  <si>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</si>
  <si>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</si>
  <si>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</si>
  <si>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</si>
  <si>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</si>
  <si>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</si>
  <si>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</si>
  <si>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</si>
  <si>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</si>
  <si>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</si>
  <si>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</si>
  <si>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</si>
  <si>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</si>
  <si>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</si>
  <si>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</si>
  <si>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</si>
  <si>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</si>
  <si>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</si>
  <si>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</si>
  <si>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</si>
  <si>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</si>
  <si>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</si>
  <si>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</si>
  <si>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</si>
  <si>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</si>
  <si>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</si>
  <si>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</si>
  <si>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</si>
  <si>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</si>
  <si>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</si>
  <si>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</si>
  <si>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</si>
  <si>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</si>
  <si>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</si>
  <si>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</si>
  <si>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</si>
  <si>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</si>
  <si>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</si>
  <si>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</si>
  <si>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</si>
  <si>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</si>
  <si>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</si>
  <si>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</si>
  <si>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</si>
  <si>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</si>
  <si>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</si>
  <si>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</si>
  <si>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</si>
  <si>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</si>
  <si>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</si>
  <si>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</si>
  <si>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</si>
  <si>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</si>
  <si>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</si>
  <si>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</si>
  <si>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</si>
  <si>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</si>
  <si>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</si>
  <si>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</si>
  <si>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</si>
  <si>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</si>
  <si>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</si>
  <si>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</si>
  <si>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</si>
  <si>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</si>
  <si>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</si>
  <si>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</si>
  <si>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</si>
  <si>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</si>
  <si>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</si>
  <si>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</si>
  <si>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</si>
  <si>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</si>
  <si>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</si>
  <si>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</si>
  <si>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</si>
  <si>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</si>
  <si>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</si>
  <si>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</si>
  <si>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</si>
  <si>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</si>
  <si>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</si>
  <si>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</si>
  <si>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</si>
  <si>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</si>
  <si>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</si>
  <si>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</si>
  <si>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</si>
  <si>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</si>
  <si>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</si>
  <si>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</si>
  <si>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</si>
  <si>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</si>
  <si>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</si>
  <si>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</si>
  <si>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</si>
  <si>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</si>
  <si>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</si>
  <si>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</si>
  <si>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</si>
  <si>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</si>
  <si>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</si>
  <si>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</si>
  <si>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</si>
  <si>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</si>
  <si>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</si>
  <si>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No</t>
  </si>
  <si>
    <t>USDA Rent Adjustment Letter</t>
  </si>
  <si>
    <t>Pecan Point Apartments</t>
  </si>
  <si>
    <t>Pecan Point Apartments, 133 Limestone Rd, Cochran, GA 31014. Total Units = 49 (Includes manager's unit). Low incme units = 48, Family project.</t>
  </si>
  <si>
    <t>Competitive Round</t>
  </si>
  <si>
    <t>Kenneth G. Blankenship</t>
  </si>
  <si>
    <t>Partner</t>
  </si>
  <si>
    <t>ken.blankenship@prestwickdevelopment.com</t>
  </si>
  <si>
    <t>133 Limestone Rd</t>
  </si>
  <si>
    <t>Prestwick Development</t>
  </si>
  <si>
    <t>Richard D. Lee</t>
  </si>
  <si>
    <t>Wiley A Tucker III</t>
  </si>
  <si>
    <t>Martin H. Petersen</t>
  </si>
  <si>
    <t>Pecan Point Apartments HP Partners, LP</t>
  </si>
  <si>
    <t>Manager</t>
  </si>
  <si>
    <t>Pecan Point Apartments GP, LLC</t>
  </si>
  <si>
    <t>Direct Tax Credits, LLC</t>
  </si>
  <si>
    <t>Paul Smith</t>
  </si>
  <si>
    <t>Executive Vice President</t>
  </si>
  <si>
    <t>psmith@directtaxcredits.com</t>
  </si>
  <si>
    <t xml:space="preserve">Peachtree City </t>
  </si>
  <si>
    <t>3111 Paces Mill Rd</t>
  </si>
  <si>
    <t>Individual</t>
  </si>
  <si>
    <t>ppetersen@hallmarkco.com</t>
  </si>
  <si>
    <t>Taylor Commercial, Inc.</t>
  </si>
  <si>
    <t>Ray Dotson</t>
  </si>
  <si>
    <t>Vice President</t>
  </si>
  <si>
    <t>ray@taylorcommercial.com</t>
  </si>
  <si>
    <t>Hallmark Management, Inc.</t>
  </si>
  <si>
    <t>3111 Paces Mill Rd.</t>
  </si>
  <si>
    <t>President</t>
  </si>
  <si>
    <t>Arnall Golden &amp; Gregory</t>
  </si>
  <si>
    <t>171 17th Street, Suite 2100</t>
  </si>
  <si>
    <t>Jeff Adams</t>
  </si>
  <si>
    <t>Jadams@agg.com</t>
  </si>
  <si>
    <t>Timothy Kemper</t>
  </si>
  <si>
    <t>timothy.kemper@reznickgroup.com</t>
  </si>
  <si>
    <t>Reznick Group, Inc.</t>
  </si>
  <si>
    <t>2002 Summit Blvd., Suite 200</t>
  </si>
  <si>
    <t>IPG, Incorporated</t>
  </si>
  <si>
    <t>807 Northwood Park Drive</t>
  </si>
  <si>
    <t>Robert Byington</t>
  </si>
  <si>
    <t>Project Manager</t>
  </si>
  <si>
    <t>rbyington@ipgarchitects.com</t>
  </si>
  <si>
    <t>Letter from Local Gov't identifying preservation of the project is a priority</t>
  </si>
  <si>
    <t xml:space="preserve">6 Month period prior to application submission Avg Occupancy  </t>
  </si>
  <si>
    <t>BUILDING AND UNIT FEATURES - The multi family rental community will showcase one bedroom and two bedroom units. The apartment buildings attractive, modern exterior will consist of a brick and hardi-plank façade which will help to provide maximum architectural appeal.  The project is already engaged to achieve Southface Energy Institute’s and GAHBA Earth Craft House multifamily certification. Upgraded exterior landscaping, such as flowers, perennials, and exterior lighting will provide additional beauty as well as an attractive drive-by appearance.</t>
  </si>
  <si>
    <t xml:space="preserve">RESIDENT SERVICES - Resident activities will be ongoing and designed to meet the needs of the changing community. </t>
  </si>
  <si>
    <t>City of Cochran</t>
  </si>
  <si>
    <t>Cliff Avant</t>
  </si>
  <si>
    <t>Mayor</t>
  </si>
  <si>
    <t>Family</t>
  </si>
  <si>
    <t>Members of Prestwick Development are also members of the GP entity</t>
  </si>
  <si>
    <t>For Profit</t>
  </si>
  <si>
    <t>Neither</t>
  </si>
  <si>
    <t>USDA 515 Loan</t>
  </si>
  <si>
    <t>Direct Tax Credits</t>
  </si>
  <si>
    <t>Physical Needs Assessment</t>
  </si>
  <si>
    <t>State Boost</t>
  </si>
  <si>
    <t>THE APARTMENTS - We will make available to our residents beautifully rehabilitated apartments including: A redesigned kitchen complete with dishwasher, garbage disposal, electric range/oven with an exhaust hood and a frost-free refrigerator/freezer. Full bathroom(s) with all the newest features, tub and shower combination and showers, linen closet, one-piece vanity top, and vinyl floor. Wall-to-wall carpet with vinyl flooring in the kitchen and bath(s). Ceiling fans in living rooms and master bedrooms. Cable TV available in each bedroom and living room. Fire alarms. Individually controlled heating and air conditioning. Energy-efficient heat pumps. Maintenance includes interior service, lawns, landscaping, and pest control.</t>
  </si>
  <si>
    <t>DEVELOPMENT SUMMARY - Pecan Point Apartments consists of forty eight (48) low-income units and one (1) manager’s unit, of which forty eight (48) are proposed to be developed as low-income units.  The forty eight (48) low-income units are comprised of sixteen (16) one bedroom, one bath units at 692 and 718 square feet, and thirty two (32) two bedroom, one bath units at 855 and 883 square feet. The project has one (1) two bedroom, one bath managers unit, office space and laundry facility for the community.</t>
  </si>
  <si>
    <t>112 W. Dykes Street</t>
  </si>
  <si>
    <t>GA-88-00101</t>
  </si>
  <si>
    <t>GA-88-00106</t>
  </si>
  <si>
    <t>See Below for Explanation</t>
  </si>
  <si>
    <t xml:space="preserve"> The Project Number is not available. We issued a GORA request and were told by DCA that the files for this original application are no longer available since it was a 1988 allocation. </t>
  </si>
  <si>
    <t>2-Story</t>
  </si>
  <si>
    <t>Acquisition/Rehab</t>
  </si>
  <si>
    <t>N/A-CS</t>
  </si>
  <si>
    <t>Common</t>
  </si>
  <si>
    <t>USDA Rent adjustment</t>
  </si>
  <si>
    <t>Taxs &amp; Benefits</t>
  </si>
  <si>
    <t>Capital budget (per USDA budget)</t>
  </si>
  <si>
    <t>Misc Taxes</t>
  </si>
  <si>
    <t>Agree</t>
  </si>
  <si>
    <t>Geotechnical &amp; Environmental, Inc</t>
  </si>
  <si>
    <t>Contract/Option</t>
  </si>
  <si>
    <t>Wholesale</t>
  </si>
  <si>
    <t>Qualified with Conditions</t>
  </si>
  <si>
    <t>Real Property Research</t>
  </si>
  <si>
    <t xml:space="preserve">Hallmark Management will identify the needs of the community and provide Social and Recreational Programming. Some examples that will be provided are the following: Birthday parties, Holiday Theme Parties, Resident Forums, etc. </t>
  </si>
  <si>
    <t>Decker Dickson / CB Richard Ellis</t>
  </si>
  <si>
    <t>5.B.3. This project is not seeking HOME funds and therefore, this requirement is not applicable to this application</t>
  </si>
  <si>
    <t>Railway, Road, Aircraft</t>
  </si>
  <si>
    <t>None</t>
  </si>
  <si>
    <t>Documentation regarding the site being accessible by a paved road is included in Tab 13</t>
  </si>
  <si>
    <t>The property is an exisiting apartment community. The property is zoned R2. Per the zoning letter, it is permissible to rehab these apartments under the City of Cochran's codes. A copy of the zoning letter is included in Tab 14.</t>
  </si>
  <si>
    <t>GA Power</t>
  </si>
  <si>
    <t>Project is currently all electric (NO GAS) and after rehabilitation, will remain all electric (NO GAS). Electricity is currently on our site. The Availability Letter is included in Tab 15.</t>
  </si>
  <si>
    <t>Documentation regarding local government support and community engagement is located in Tab 16</t>
  </si>
  <si>
    <t>Gazebo</t>
  </si>
  <si>
    <t>On-site laundry</t>
  </si>
  <si>
    <t>Ray Engineering, Inc.</t>
  </si>
  <si>
    <t>25.D.1 / 25.D.4 / 25.D.5 - The answer to these questions is (0), however, this form will not show a (0) in the box.</t>
  </si>
  <si>
    <t>This section is not applicable to this application</t>
  </si>
  <si>
    <t>16.7% of our units are set-aside at the 50% Rent Level. This is evident in our rent schedule in Part VI of the Core Application</t>
  </si>
  <si>
    <t>The site scores 10 points for desireable / undesireable activities. This is evident with the supplied certification in Tab 24</t>
  </si>
  <si>
    <t>The site scores 2 additional bonus points for desireable / undesireable activities. This is evident with the supplied certification in Tab 24</t>
  </si>
  <si>
    <t>Earth Craft House</t>
  </si>
  <si>
    <t>The project will be seeking the EarthCraft Multi-family certification. The applicable scoring sheet is located in Tab 29</t>
  </si>
  <si>
    <t>Stable Communities &lt; 20%</t>
  </si>
  <si>
    <t>2009-032 - Manor at Scott's Crossing   &amp;   2009-033 - Gateway East Point</t>
  </si>
  <si>
    <t>Plantation Apartments IV</t>
  </si>
  <si>
    <t>Pass</t>
  </si>
  <si>
    <t>2011 USDA Approved Budget</t>
  </si>
  <si>
    <t>MF</t>
  </si>
  <si>
    <t xml:space="preserve">The Utiltiy Allowance Schedule is included in Tab 7. </t>
  </si>
  <si>
    <t>The included schedule does not breakdown the electric utility for each item which is why we have provided a lump sum for all electric items</t>
  </si>
  <si>
    <t>1-Story</t>
  </si>
  <si>
    <t>Real Estate Taxes in the above Operating Budget are based on actual taxes from 2010. A copy of the 2010 tax bill for the property is included in Tab 8. Property Insurance in the above Operating Budget is based on actuals for 2010. A copy of the insurance bill is incuded in Tab 8.</t>
  </si>
  <si>
    <t>The above budgeted operating utilities are based on prior operating history of the property.</t>
  </si>
  <si>
    <t>USDA</t>
  </si>
  <si>
    <t>2 months</t>
  </si>
  <si>
    <t>4.E. There are no LIHTC projects within 10 miles of this community</t>
  </si>
  <si>
    <t xml:space="preserve">4.F. The 1 Bedroom 50% units have a maximum tax credit rent of $381 however the rental rate on these (4) units is $387 per the Revenues &amp; Expenses Tab. The maximum tax credit rent of $381 is reflected in the Market Study. There are (4) 1 Bedroom Units at 50% AMI. The property has rental assisstance on 38 units and currently (13) 1 Bedrooms are utilizing rental assistance. The current net tenant paid portion of rent on all (13) 1 bedroom units is less than $381. </t>
  </si>
  <si>
    <t>The existing USDA 515 Mortgage has a loan maturity date of March 30,2038</t>
  </si>
  <si>
    <t xml:space="preserve">USDA Rent Adjustment located in the "Other Income Not Subject to the Management Fee" line represents the increased rents that will be provided by USDA to offset the estimated increase in expenses. The rents will be increased annually by a sufficient amount to offset any increase in actual expenses, creating a level income stream for the property. A Letter from USDA confirming this is included in Tab 39.     </t>
  </si>
  <si>
    <t>200 Westpark Drive, Suite 240</t>
  </si>
  <si>
    <t>Prestwick Development Company, LLC</t>
  </si>
  <si>
    <t>Martin H Petersen is a member of the GP entity and a shareholer in the management company. Mr. Petersen is also serving as the development consultant.</t>
  </si>
  <si>
    <t xml:space="preserve">USDA Rental Assistance is provided for a maximum of 38 units. USDA Rental Assistance is not tied to any one unit and therefore is available on all unit types The above Rent Schedule shows the units, that as of June 2010, have rental assistance on them, which is 38. A copy of the Rental Assistance Agreement is included in Tab 5. USDA Rent Adjustment represents the increased rents that will be provided by USDA to offset the estimated increase in expenses. The rents will be increased annually by a sufficient amount to offset any increase in actual expenses, creating a level income stream for the property. A Letter from USDA confirming this is included in Tab 39.  The 1 Bedroom 50% units have a maximum tax credit rent of $381 however the rental rate on these (4) units is $387. The maximum tax credit rent of $381 is reflected in the Market Study. There are (4) 1 Bedroom Units at 50% AMI. The property has rental assisstance on 38 units and currently (13) 1 Bedrooms are utilizing rental assistance. The current net tenant paid portion of rent on all (13) 1 bedroom units is less than $381. </t>
  </si>
  <si>
    <t>3715 Northside Parkway, Bldg 200 Suite 175</t>
  </si>
  <si>
    <t>The $30,000 located in the construction interest line item represents a budget amount for the payments due on the exisiting USDA 515 mortgage. The compliance fee due for USDA rural properties is $150.00 per unit.</t>
  </si>
  <si>
    <t>Applicant has site control until August 31, 2012.</t>
  </si>
  <si>
    <t>3955 Marconi Drive</t>
  </si>
  <si>
    <t>The existing USDA 515 mortgage will be asumed by the new ownership entity. The above amount of $1,202,959 equals the principal balance on the loan that will be assumed by the new owner. The annual debt service is based on the original mortgage balance.</t>
  </si>
  <si>
    <t>The Asset Mangement Fee is built into the Tax Credit Equity price since USDA 515 delas can not afford to pay this fee. Because of this, we are reflecting the fee as $0. The incentive management fee is also reflected as $0. The owner has agreed to waive this fee due to limted cash flow provided by USDA 515 properties.</t>
  </si>
  <si>
    <t>20.B. Authorized information release received by DCA is located in Tab 38.</t>
  </si>
  <si>
    <t>A copy of the LIHTC Legal Opinion as to Project Qualification for Acquisition Credits is included in Tab 21.</t>
  </si>
  <si>
    <t>We received approval for Hallmark Management. We included DCA's list in Tab 3. We did not received the owner/developer score as of the application submittal date.</t>
  </si>
  <si>
    <t xml:space="preserve">A gut rehabilitation of the interiors will take place.  Gut rehabilitation will include demolition of the interior down to the studs. There will be new electrical, plumbing and mechanicals to include HVAC system, hot water heater, plumbing pipes and fixtures. The kitchen scope includes new floors, cabinets, counter tops, and appliances. New interior and exterior doors, hardware and trim are also included. New amenities for the interior of the units include:  ceiling fans and new window blinds. During the rehab process a new building will be constructed that will house the community room, leasing office and equipped computer center. The exterior improvements include the replacement of all of the existing shingles with new architectural shingles and new hardi-plank siding as well as the replacement of 100% of the existing windows.  There will be an asphalt overlay for the parking areas plus concrete work in areas of concern.  Gutter replacement and exterior lighting are also included in the exterior scope.  The site signage will be replaced and there will be new and updated landscaping.  A new playground, gazebo and covered picnic facility will be installed.  </t>
  </si>
  <si>
    <t>Construction hard costs are based on an estimate from Taylor Commercial. A copy of the estimate is located in Tab 8.</t>
  </si>
  <si>
    <t xml:space="preserve">Permiting costs are based on a conversation with Matt Turknett of the city of Cochran. Per the City of Cochran,  building permit costs are $1,200 for the first $500,000, plus $1.75 for each additioinal $1,000 of hard cost construction. There are no local government fees for water or sewer taps as this is an existing property with existing service. This was confirmed with the city of Cochran                                                                                                                                                                                                     
</t>
  </si>
  <si>
    <t>5.B.1 The Appraisal includes the as-is value with land broken out as required in Threshold Section 5.A Identity of Interest. The as built/as complete (encumbered). As-built/as complete (unencumbered) values and the tax credit value are not applicable to this application since this application is not seeking HOME funds.</t>
  </si>
  <si>
    <t>DCA letter related to deferred fee when utilizing the state basis boost</t>
  </si>
  <si>
    <t>We are requesting a state basis boost of 18%. Per the QAP, Core Section, Pages 15&amp;16, we meet the eligibility requirements as the project is located in a rural area and does not utiliize DCA Home funds as a source.  Per project specific question #14 related to deferred developer fee when using the state designated basis boost and assuming the USDA current debt, we are not deferring developer fee at the rate of .5% for each 1% of basis boost. DCA response to our question was :     Response: Section 5 D of the core states that DCA will generally require that any project receiving a state designated basis boost defer .5% of the total developer fee for every 1% in state designated basis boost granted to the project and that “if the project receives debt or grant from an independent non-related party in the amount of at least 15% of the total developer fee” the requirement does not apply.  Any assumed Sec. 515 debt counts towards the minimum 15% debt/grant financing requirement.  The letter from DCA can be found in Tab 39</t>
  </si>
  <si>
    <t>2011-003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</si>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</sst>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0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1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3" fillId="0" borderId="0" xfId="0" applyFont="1" applyFill="1" applyAlignment="1" applyProtection="1">
      <alignment horizontal="left" vertical="center" wrapText="1"/>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7"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wrapText="1"/>
    </xf>
    <xf numFmtId="0" fontId="54" fillId="5" borderId="56" xfId="77" applyFont="1" applyFill="1" applyBorder="1" applyAlignment="1" applyProtection="1">
      <alignment horizontal="left" vertical="center"/>
    </xf>
    <xf numFmtId="0" fontId="54" fillId="5" borderId="24" xfId="77"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2" xfId="0" applyFont="1" applyBorder="1" applyProtection="1"/>
    <xf numFmtId="0" fontId="58" fillId="0" borderId="38" xfId="0" applyFont="1" applyBorder="1" applyProtection="1"/>
    <xf numFmtId="167" fontId="58" fillId="5"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5" borderId="37" xfId="13" applyFont="1" applyFill="1" applyBorder="1" applyAlignment="1" applyProtection="1">
      <alignment horizontal="left" vertical="center"/>
    </xf>
    <xf numFmtId="0" fontId="58" fillId="5" borderId="2" xfId="13" applyFont="1" applyFill="1" applyBorder="1" applyAlignment="1" applyProtection="1">
      <alignment horizontal="left" vertical="center"/>
    </xf>
    <xf numFmtId="0" fontId="58" fillId="5" borderId="38" xfId="13" applyFont="1" applyFill="1" applyBorder="1" applyAlignment="1" applyProtection="1">
      <alignment horizontal="left" vertical="center"/>
    </xf>
    <xf numFmtId="0" fontId="54" fillId="5" borderId="55" xfId="70" applyFont="1" applyFill="1" applyBorder="1" applyAlignment="1" applyProtection="1">
      <alignment horizontal="left" vertical="center"/>
    </xf>
    <xf numFmtId="0" fontId="54" fillId="5" borderId="56" xfId="70" applyFont="1" applyFill="1" applyBorder="1" applyAlignment="1" applyProtection="1">
      <alignment horizontal="left" vertical="center"/>
    </xf>
    <xf numFmtId="0" fontId="54" fillId="5" borderId="54" xfId="70" applyFont="1" applyFill="1" applyBorder="1" applyAlignment="1" applyProtection="1">
      <alignment horizontal="left" vertical="center"/>
    </xf>
    <xf numFmtId="0" fontId="54" fillId="5" borderId="40" xfId="70" applyFont="1" applyFill="1" applyBorder="1" applyAlignment="1" applyProtection="1">
      <alignment horizontal="left" vertical="center"/>
    </xf>
    <xf numFmtId="0" fontId="54" fillId="5" borderId="56" xfId="79" applyFont="1" applyFill="1" applyBorder="1" applyAlignment="1" applyProtection="1">
      <alignment horizontal="left" vertical="center"/>
    </xf>
    <xf numFmtId="0" fontId="54" fillId="5" borderId="24" xfId="79" applyFont="1" applyFill="1" applyBorder="1" applyAlignment="1" applyProtection="1">
      <alignment horizontal="left" vertical="center"/>
    </xf>
    <xf numFmtId="0" fontId="54" fillId="5" borderId="54" xfId="80" applyFont="1" applyFill="1" applyBorder="1" applyAlignment="1" applyProtection="1">
      <alignment horizontal="left" vertical="center"/>
    </xf>
    <xf numFmtId="0" fontId="54" fillId="5" borderId="40" xfId="80" applyFont="1" applyFill="1" applyBorder="1" applyAlignment="1" applyProtection="1">
      <alignment horizontal="left" vertical="center"/>
    </xf>
    <xf numFmtId="0" fontId="54" fillId="5" borderId="55" xfId="80" applyFont="1" applyFill="1" applyBorder="1" applyAlignment="1" applyProtection="1">
      <alignment horizontal="left" vertical="center"/>
    </xf>
    <xf numFmtId="0" fontId="54" fillId="5" borderId="56" xfId="80" applyFont="1" applyFill="1" applyBorder="1" applyAlignment="1" applyProtection="1">
      <alignment horizontal="lef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58" fillId="5" borderId="37" xfId="71" applyFont="1" applyFill="1" applyBorder="1" applyAlignment="1" applyProtection="1">
      <alignment horizontal="left" vertical="center"/>
    </xf>
    <xf numFmtId="0" fontId="58" fillId="5" borderId="2" xfId="71" applyFont="1" applyFill="1" applyBorder="1" applyAlignment="1" applyProtection="1">
      <alignment horizontal="left" vertical="center"/>
    </xf>
    <xf numFmtId="0" fontId="58" fillId="5" borderId="38" xfId="71" applyFont="1" applyFill="1" applyBorder="1" applyAlignment="1" applyProtection="1">
      <alignment horizontal="left" vertical="center"/>
    </xf>
    <xf numFmtId="0" fontId="58" fillId="5" borderId="37" xfId="72" applyFont="1" applyFill="1" applyBorder="1" applyAlignment="1" applyProtection="1">
      <alignment horizontal="left" vertical="center"/>
    </xf>
    <xf numFmtId="0" fontId="58" fillId="5" borderId="2" xfId="72" applyFont="1" applyFill="1" applyBorder="1" applyAlignment="1" applyProtection="1">
      <alignment horizontal="left" vertical="center"/>
    </xf>
    <xf numFmtId="0" fontId="58" fillId="5" borderId="38" xfId="72" applyFont="1" applyFill="1" applyBorder="1" applyAlignment="1" applyProtection="1">
      <alignment horizontal="left" vertical="center"/>
    </xf>
    <xf numFmtId="167" fontId="58" fillId="5" borderId="37" xfId="82" applyNumberFormat="1" applyFont="1" applyFill="1" applyBorder="1" applyAlignment="1" applyProtection="1">
      <alignment horizontal="left" vertical="center"/>
    </xf>
    <xf numFmtId="167" fontId="58" fillId="5" borderId="2" xfId="82" applyNumberFormat="1" applyFont="1" applyFill="1" applyBorder="1" applyAlignment="1" applyProtection="1">
      <alignment horizontal="left" vertical="center"/>
    </xf>
    <xf numFmtId="167" fontId="58" fillId="5" borderId="38" xfId="82" applyNumberFormat="1" applyFont="1" applyFill="1" applyBorder="1" applyAlignment="1" applyProtection="1">
      <alignment horizontal="left" vertical="center"/>
    </xf>
    <xf numFmtId="0" fontId="58" fillId="5" borderId="37" xfId="84" applyFont="1" applyFill="1" applyBorder="1" applyAlignment="1" applyProtection="1">
      <alignment horizontal="left" vertical="center"/>
    </xf>
    <xf numFmtId="0" fontId="58" fillId="0" borderId="2" xfId="84" applyFont="1" applyBorder="1" applyProtection="1"/>
    <xf numFmtId="0" fontId="58" fillId="0" borderId="38" xfId="84" applyFont="1" applyBorder="1" applyProtection="1"/>
    <xf numFmtId="0" fontId="58" fillId="5" borderId="37" xfId="83" applyFont="1" applyFill="1" applyBorder="1" applyAlignment="1" applyProtection="1">
      <alignment horizontal="left" vertical="center"/>
    </xf>
    <xf numFmtId="0" fontId="58" fillId="0" borderId="2" xfId="83" applyFont="1" applyBorder="1" applyProtection="1"/>
    <xf numFmtId="0" fontId="58" fillId="0" borderId="38" xfId="83" applyFont="1" applyBorder="1" applyProtection="1"/>
    <xf numFmtId="0" fontId="58" fillId="5" borderId="37" xfId="74" applyFont="1" applyFill="1" applyBorder="1" applyAlignment="1" applyProtection="1">
      <alignment horizontal="left" vertical="center"/>
    </xf>
    <xf numFmtId="0" fontId="58" fillId="5" borderId="2" xfId="74" applyFont="1" applyFill="1" applyBorder="1" applyAlignment="1" applyProtection="1">
      <alignment horizontal="left" vertical="center"/>
    </xf>
    <xf numFmtId="0" fontId="58" fillId="5" borderId="38" xfId="74" applyFont="1" applyFill="1" applyBorder="1" applyAlignment="1" applyProtection="1">
      <alignment horizontal="left" vertical="center"/>
    </xf>
    <xf numFmtId="167" fontId="58" fillId="5" borderId="37" xfId="67" applyNumberFormat="1" applyFont="1" applyFill="1" applyBorder="1" applyAlignment="1" applyProtection="1">
      <alignment horizontal="left" vertical="center"/>
    </xf>
    <xf numFmtId="167" fontId="58" fillId="5" borderId="2" xfId="67" applyNumberFormat="1" applyFont="1" applyFill="1" applyBorder="1" applyAlignment="1" applyProtection="1">
      <alignment horizontal="left" vertical="center"/>
    </xf>
    <xf numFmtId="167" fontId="58" fillId="5" borderId="38" xfId="67" applyNumberFormat="1" applyFont="1" applyFill="1" applyBorder="1" applyAlignment="1" applyProtection="1">
      <alignment horizontal="left" vertical="center"/>
    </xf>
    <xf numFmtId="0" fontId="58" fillId="5" borderId="37" xfId="89" applyFont="1" applyFill="1" applyBorder="1" applyAlignment="1" applyProtection="1">
      <alignment horizontal="left" vertical="center"/>
    </xf>
    <xf numFmtId="0" fontId="58" fillId="0" borderId="2" xfId="89" applyFont="1" applyBorder="1" applyProtection="1"/>
    <xf numFmtId="0" fontId="58" fillId="0" borderId="38" xfId="89" applyFont="1" applyBorder="1" applyProtection="1"/>
    <xf numFmtId="167" fontId="58" fillId="5" borderId="37" xfId="91" applyNumberFormat="1" applyFont="1" applyFill="1" applyBorder="1" applyAlignment="1" applyProtection="1">
      <alignment horizontal="left" vertical="center"/>
    </xf>
    <xf numFmtId="167" fontId="58" fillId="5" borderId="2" xfId="91" applyNumberFormat="1" applyFont="1" applyFill="1" applyBorder="1" applyAlignment="1" applyProtection="1">
      <alignment horizontal="left" vertical="center"/>
    </xf>
    <xf numFmtId="167" fontId="58" fillId="5" borderId="38" xfId="91" applyNumberFormat="1" applyFont="1" applyFill="1" applyBorder="1" applyAlignment="1" applyProtection="1">
      <alignment horizontal="left" vertical="center"/>
    </xf>
    <xf numFmtId="0" fontId="58" fillId="5" borderId="37" xfId="91" applyFont="1" applyFill="1" applyBorder="1" applyAlignment="1" applyProtection="1">
      <alignment horizontal="left" vertical="center"/>
    </xf>
    <xf numFmtId="0" fontId="58" fillId="0" borderId="2" xfId="91" applyFont="1" applyBorder="1" applyProtection="1"/>
    <xf numFmtId="0" fontId="58" fillId="0" borderId="38" xfId="91" applyFont="1" applyBorder="1" applyProtection="1"/>
    <xf numFmtId="0" fontId="58" fillId="5" borderId="37" xfId="68" applyNumberFormat="1" applyFont="1" applyFill="1" applyBorder="1" applyAlignment="1" applyProtection="1">
      <alignment horizontal="left" vertical="center"/>
    </xf>
    <xf numFmtId="0" fontId="58" fillId="5" borderId="2" xfId="68" applyNumberFormat="1" applyFont="1" applyFill="1" applyBorder="1" applyAlignment="1" applyProtection="1">
      <alignment horizontal="left" vertical="center"/>
    </xf>
    <xf numFmtId="0" fontId="58" fillId="5" borderId="38" xfId="68" applyNumberFormat="1" applyFont="1" applyFill="1" applyBorder="1" applyAlignment="1" applyProtection="1">
      <alignment horizontal="left" vertical="center"/>
    </xf>
    <xf numFmtId="0" fontId="58" fillId="5" borderId="37" xfId="93" applyFont="1" applyFill="1" applyBorder="1" applyAlignment="1" applyProtection="1">
      <alignment horizontal="left" vertical="center"/>
    </xf>
    <xf numFmtId="0" fontId="58" fillId="0" borderId="2" xfId="93" applyFont="1" applyBorder="1" applyProtection="1"/>
    <xf numFmtId="0" fontId="58" fillId="0" borderId="38" xfId="93" applyFont="1" applyBorder="1" applyProtection="1"/>
    <xf numFmtId="167" fontId="58" fillId="5" borderId="37" xfId="94" applyNumberFormat="1" applyFont="1" applyFill="1" applyBorder="1" applyAlignment="1" applyProtection="1">
      <alignment horizontal="left" vertical="center"/>
    </xf>
    <xf numFmtId="167" fontId="58" fillId="5" borderId="2" xfId="94" applyNumberFormat="1" applyFont="1" applyFill="1" applyBorder="1" applyAlignment="1" applyProtection="1">
      <alignment horizontal="left" vertical="center"/>
    </xf>
    <xf numFmtId="167" fontId="58" fillId="5" borderId="38" xfId="94" applyNumberFormat="1" applyFont="1" applyFill="1" applyBorder="1" applyAlignment="1" applyProtection="1">
      <alignment horizontal="left" vertical="center"/>
    </xf>
    <xf numFmtId="0" fontId="58" fillId="5" borderId="37" xfId="94" applyFont="1" applyFill="1" applyBorder="1" applyAlignment="1" applyProtection="1">
      <alignment horizontal="left" vertical="center"/>
    </xf>
    <xf numFmtId="0" fontId="58" fillId="0" borderId="2" xfId="94" applyFont="1" applyBorder="1" applyProtection="1"/>
    <xf numFmtId="0" fontId="58" fillId="0" borderId="38" xfId="94" applyFont="1" applyBorder="1" applyProtection="1"/>
    <xf numFmtId="0" fontId="58" fillId="5" borderId="37" xfId="69" applyNumberFormat="1" applyFont="1" applyFill="1" applyBorder="1" applyAlignment="1" applyProtection="1">
      <alignment horizontal="left" vertical="center"/>
    </xf>
    <xf numFmtId="0" fontId="58" fillId="5" borderId="2" xfId="69" applyNumberFormat="1" applyFont="1" applyFill="1" applyBorder="1" applyAlignment="1" applyProtection="1">
      <alignment horizontal="left" vertical="center"/>
    </xf>
    <xf numFmtId="0" fontId="58" fillId="5" borderId="38" xfId="69" applyNumberFormat="1" applyFont="1" applyFill="1" applyBorder="1" applyAlignment="1" applyProtection="1">
      <alignment horizontal="left" vertical="center"/>
    </xf>
    <xf numFmtId="0" fontId="58" fillId="5" borderId="37" xfId="95" applyFont="1" applyFill="1" applyBorder="1" applyAlignment="1" applyProtection="1">
      <alignment horizontal="left" vertical="center"/>
    </xf>
    <xf numFmtId="0" fontId="58" fillId="0" borderId="2" xfId="95" applyFont="1" applyBorder="1" applyProtection="1"/>
    <xf numFmtId="0" fontId="58" fillId="0" borderId="38" xfId="95" applyFont="1" applyBorder="1" applyProtection="1"/>
    <xf numFmtId="0" fontId="58" fillId="5" borderId="37" xfId="96" applyFont="1" applyFill="1" applyBorder="1" applyAlignment="1" applyProtection="1">
      <alignment horizontal="left" vertical="center"/>
    </xf>
    <xf numFmtId="0" fontId="58" fillId="0" borderId="2" xfId="96" applyFont="1" applyBorder="1" applyProtection="1"/>
    <xf numFmtId="0" fontId="58" fillId="0" borderId="38" xfId="96" applyFont="1" applyBorder="1" applyProtection="1"/>
    <xf numFmtId="167" fontId="58" fillId="5" borderId="37" xfId="96" applyNumberFormat="1" applyFont="1" applyFill="1" applyBorder="1" applyAlignment="1" applyProtection="1">
      <alignment horizontal="left" vertical="center"/>
    </xf>
    <xf numFmtId="167" fontId="58" fillId="5" borderId="2" xfId="96" applyNumberFormat="1" applyFont="1" applyFill="1" applyBorder="1" applyAlignment="1" applyProtection="1">
      <alignment horizontal="left" vertical="center"/>
    </xf>
    <xf numFmtId="167" fontId="58" fillId="5" borderId="38" xfId="96" applyNumberFormat="1" applyFont="1" applyFill="1" applyBorder="1" applyAlignment="1" applyProtection="1">
      <alignment horizontal="left" vertical="center"/>
    </xf>
    <xf numFmtId="0" fontId="58" fillId="5" borderId="37" xfId="92" applyNumberFormat="1" applyFont="1" applyFill="1" applyBorder="1" applyAlignment="1" applyProtection="1">
      <alignment horizontal="left" vertical="center"/>
    </xf>
    <xf numFmtId="0" fontId="58" fillId="5" borderId="2" xfId="92" applyNumberFormat="1" applyFont="1" applyFill="1" applyBorder="1" applyAlignment="1" applyProtection="1">
      <alignment horizontal="left" vertical="center"/>
    </xf>
    <xf numFmtId="0" fontId="58" fillId="5" borderId="38" xfId="92" applyNumberFormat="1" applyFont="1" applyFill="1" applyBorder="1" applyAlignment="1" applyProtection="1">
      <alignment horizontal="left" vertical="center"/>
    </xf>
    <xf numFmtId="0" fontId="58" fillId="5" borderId="37" xfId="90" applyFont="1" applyFill="1" applyBorder="1" applyAlignment="1" applyProtection="1">
      <alignment horizontal="left" vertical="center"/>
    </xf>
    <xf numFmtId="0" fontId="58" fillId="0" borderId="2" xfId="90" applyFont="1" applyBorder="1" applyProtection="1"/>
    <xf numFmtId="0" fontId="58" fillId="0" borderId="38" xfId="90" applyFont="1" applyBorder="1" applyProtection="1"/>
    <xf numFmtId="0" fontId="58" fillId="5" borderId="37" xfId="97" applyFont="1" applyFill="1" applyBorder="1" applyAlignment="1" applyProtection="1">
      <alignment horizontal="left" vertical="center"/>
    </xf>
    <xf numFmtId="0" fontId="58" fillId="0" borderId="2" xfId="97" applyFont="1" applyBorder="1" applyProtection="1"/>
    <xf numFmtId="0" fontId="58" fillId="0" borderId="38" xfId="97" applyFont="1" applyBorder="1" applyProtection="1"/>
    <xf numFmtId="167" fontId="58" fillId="5" borderId="37" xfId="97" applyNumberFormat="1" applyFont="1" applyFill="1" applyBorder="1" applyAlignment="1" applyProtection="1">
      <alignment horizontal="left" vertical="center"/>
    </xf>
    <xf numFmtId="167" fontId="58" fillId="5" borderId="2" xfId="97" applyNumberFormat="1" applyFont="1" applyFill="1" applyBorder="1" applyAlignment="1" applyProtection="1">
      <alignment horizontal="left" vertical="center"/>
    </xf>
    <xf numFmtId="167" fontId="58" fillId="5" borderId="38" xfId="97" applyNumberFormat="1" applyFont="1" applyFill="1" applyBorder="1" applyAlignment="1" applyProtection="1">
      <alignment horizontal="left" vertical="center"/>
    </xf>
    <xf numFmtId="0" fontId="58" fillId="5" borderId="37" xfId="85" applyNumberFormat="1" applyFont="1" applyFill="1" applyBorder="1" applyAlignment="1" applyProtection="1">
      <alignment horizontal="left" vertical="center"/>
    </xf>
    <xf numFmtId="0" fontId="58" fillId="5" borderId="2" xfId="85" applyNumberFormat="1" applyFont="1" applyFill="1" applyBorder="1" applyAlignment="1" applyProtection="1">
      <alignment horizontal="left" vertical="center"/>
    </xf>
    <xf numFmtId="0" fontId="58" fillId="5" borderId="38" xfId="85" applyNumberFormat="1" applyFont="1" applyFill="1" applyBorder="1" applyAlignment="1" applyProtection="1">
      <alignment horizontal="left" vertical="center"/>
    </xf>
    <xf numFmtId="167" fontId="58" fillId="5" borderId="37" xfId="98" applyNumberFormat="1" applyFont="1" applyFill="1" applyBorder="1" applyAlignment="1" applyProtection="1">
      <alignment horizontal="left" vertical="center"/>
    </xf>
    <xf numFmtId="167" fontId="58" fillId="5" borderId="2" xfId="98" applyNumberFormat="1" applyFont="1" applyFill="1" applyBorder="1" applyAlignment="1" applyProtection="1">
      <alignment horizontal="left" vertical="center"/>
    </xf>
    <xf numFmtId="167" fontId="58" fillId="5" borderId="38" xfId="98" applyNumberFormat="1" applyFont="1" applyFill="1" applyBorder="1" applyAlignment="1" applyProtection="1">
      <alignment horizontal="left" vertical="center"/>
    </xf>
    <xf numFmtId="0" fontId="58" fillId="5" borderId="37" xfId="98" applyFont="1" applyFill="1" applyBorder="1" applyAlignment="1" applyProtection="1">
      <alignment horizontal="left" vertical="center"/>
    </xf>
    <xf numFmtId="0" fontId="58" fillId="0" borderId="2" xfId="98" applyFont="1" applyBorder="1" applyProtection="1"/>
    <xf numFmtId="0" fontId="58" fillId="0" borderId="38" xfId="98" applyFont="1" applyBorder="1" applyProtection="1"/>
    <xf numFmtId="0" fontId="58" fillId="5" borderId="37" xfId="99" applyFont="1" applyFill="1" applyBorder="1" applyAlignment="1" applyProtection="1">
      <alignment horizontal="left" vertical="center"/>
    </xf>
    <xf numFmtId="0" fontId="58" fillId="0" borderId="2" xfId="99" applyFont="1" applyBorder="1" applyProtection="1"/>
    <xf numFmtId="0" fontId="58" fillId="0" borderId="38" xfId="99" applyFont="1" applyBorder="1" applyProtection="1"/>
    <xf numFmtId="167" fontId="58" fillId="5" borderId="37" xfId="100" applyNumberFormat="1" applyFont="1" applyFill="1" applyBorder="1" applyAlignment="1" applyProtection="1">
      <alignment horizontal="left" vertical="center"/>
    </xf>
    <xf numFmtId="167" fontId="58" fillId="5" borderId="2" xfId="100" applyNumberFormat="1" applyFont="1" applyFill="1" applyBorder="1" applyAlignment="1" applyProtection="1">
      <alignment horizontal="left" vertical="center"/>
    </xf>
    <xf numFmtId="167" fontId="58" fillId="5" borderId="38" xfId="100" applyNumberFormat="1" applyFont="1" applyFill="1" applyBorder="1" applyAlignment="1" applyProtection="1">
      <alignment horizontal="left" vertical="center"/>
    </xf>
    <xf numFmtId="0" fontId="58" fillId="5" borderId="37" xfId="66" applyNumberFormat="1" applyFont="1" applyFill="1" applyBorder="1" applyAlignment="1" applyProtection="1">
      <alignment horizontal="left" vertical="center"/>
    </xf>
    <xf numFmtId="0" fontId="58" fillId="5" borderId="2" xfId="66" applyNumberFormat="1" applyFont="1" applyFill="1" applyBorder="1" applyAlignment="1" applyProtection="1">
      <alignment horizontal="left" vertical="center"/>
    </xf>
    <xf numFmtId="0" fontId="58" fillId="5" borderId="38" xfId="66" applyNumberFormat="1" applyFont="1" applyFill="1" applyBorder="1" applyAlignment="1" applyProtection="1">
      <alignment horizontal="left" vertical="center"/>
    </xf>
    <xf numFmtId="0" fontId="58" fillId="5" borderId="37" xfId="102" applyFont="1" applyFill="1" applyBorder="1" applyAlignment="1" applyProtection="1">
      <alignment horizontal="left" vertical="center"/>
    </xf>
    <xf numFmtId="0" fontId="58" fillId="0" borderId="2" xfId="102" applyFont="1" applyBorder="1" applyProtection="1"/>
    <xf numFmtId="0" fontId="58" fillId="0" borderId="38" xfId="102" applyFont="1" applyBorder="1" applyProtection="1"/>
    <xf numFmtId="0" fontId="58" fillId="5" borderId="37" xfId="100" applyFont="1" applyFill="1" applyBorder="1" applyAlignment="1" applyProtection="1">
      <alignment horizontal="left" vertical="center"/>
    </xf>
    <xf numFmtId="0" fontId="58" fillId="0" borderId="2" xfId="100" applyFont="1" applyBorder="1" applyProtection="1"/>
    <xf numFmtId="0" fontId="58" fillId="0" borderId="38" xfId="100" applyFont="1" applyBorder="1" applyProtection="1"/>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37" xfId="101" applyNumberFormat="1" applyFont="1" applyFill="1" applyBorder="1" applyAlignment="1" applyProtection="1">
      <alignment horizontal="left" vertical="center"/>
    </xf>
    <xf numFmtId="0" fontId="58" fillId="5" borderId="2" xfId="101" applyNumberFormat="1" applyFont="1" applyFill="1" applyBorder="1" applyAlignment="1" applyProtection="1">
      <alignment horizontal="left" vertical="center"/>
    </xf>
    <xf numFmtId="0" fontId="58" fillId="5" borderId="38" xfId="101" applyNumberFormat="1" applyFont="1" applyFill="1" applyBorder="1" applyAlignment="1" applyProtection="1">
      <alignment horizontal="left"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61"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7" xfId="78" applyFont="1" applyFill="1" applyBorder="1" applyAlignment="1" applyProtection="1">
      <alignment horizontal="left" vertical="center"/>
    </xf>
    <xf numFmtId="0" fontId="58" fillId="0" borderId="2" xfId="78" applyFont="1" applyBorder="1" applyProtection="1"/>
    <xf numFmtId="0" fontId="58" fillId="0" borderId="38" xfId="78" applyFont="1" applyBorder="1" applyProtection="1"/>
    <xf numFmtId="167" fontId="58" fillId="5" borderId="37" xfId="78" applyNumberFormat="1" applyFont="1" applyFill="1" applyBorder="1" applyAlignment="1" applyProtection="1">
      <alignment horizontal="left" vertical="center"/>
    </xf>
    <xf numFmtId="167" fontId="58" fillId="5" borderId="2" xfId="78" applyNumberFormat="1" applyFont="1" applyFill="1" applyBorder="1" applyAlignment="1" applyProtection="1">
      <alignment horizontal="left" vertical="center"/>
    </xf>
    <xf numFmtId="167" fontId="58" fillId="5" borderId="38" xfId="78" applyNumberFormat="1" applyFont="1" applyFill="1" applyBorder="1" applyAlignment="1" applyProtection="1">
      <alignment horizontal="left" vertical="center"/>
    </xf>
    <xf numFmtId="0" fontId="58" fillId="5" borderId="37" xfId="82" applyFont="1" applyFill="1" applyBorder="1" applyAlignment="1" applyProtection="1">
      <alignment horizontal="left" vertical="center"/>
    </xf>
    <xf numFmtId="0" fontId="58" fillId="0" borderId="2" xfId="82" applyFont="1" applyBorder="1" applyProtection="1"/>
    <xf numFmtId="0" fontId="58" fillId="0" borderId="38" xfId="82" applyFont="1" applyBorder="1" applyProtection="1"/>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167" fontId="58" fillId="5" borderId="37" xfId="84" applyNumberFormat="1" applyFont="1" applyFill="1" applyBorder="1" applyAlignment="1" applyProtection="1">
      <alignment horizontal="left" vertical="center"/>
    </xf>
    <xf numFmtId="167" fontId="58" fillId="5" borderId="2" xfId="84" applyNumberFormat="1" applyFont="1" applyFill="1" applyBorder="1" applyAlignment="1" applyProtection="1">
      <alignment horizontal="left" vertical="center"/>
    </xf>
    <xf numFmtId="167" fontId="58" fillId="5" borderId="38" xfId="84" applyNumberFormat="1" applyFont="1" applyFill="1" applyBorder="1" applyAlignment="1" applyProtection="1">
      <alignment horizontal="left" vertical="center"/>
    </xf>
    <xf numFmtId="0" fontId="58" fillId="5" borderId="37" xfId="76" applyNumberFormat="1" applyFont="1" applyFill="1" applyBorder="1" applyAlignment="1" applyProtection="1">
      <alignment horizontal="left" vertical="center"/>
    </xf>
    <xf numFmtId="0" fontId="58" fillId="5" borderId="2" xfId="76" applyNumberFormat="1" applyFont="1" applyFill="1" applyBorder="1" applyAlignment="1" applyProtection="1">
      <alignment horizontal="left" vertical="center"/>
    </xf>
    <xf numFmtId="0" fontId="58" fillId="5" borderId="38" xfId="76" applyNumberFormat="1" applyFont="1" applyFill="1" applyBorder="1" applyAlignment="1" applyProtection="1">
      <alignment horizontal="left" vertical="center"/>
    </xf>
    <xf numFmtId="0" fontId="58" fillId="5" borderId="37" xfId="86" applyNumberFormat="1" applyFont="1" applyFill="1" applyBorder="1" applyAlignment="1" applyProtection="1">
      <alignment horizontal="left" vertical="center"/>
    </xf>
    <xf numFmtId="0" fontId="58" fillId="5" borderId="2" xfId="86" applyNumberFormat="1" applyFont="1" applyFill="1" applyBorder="1" applyAlignment="1" applyProtection="1">
      <alignment horizontal="left" vertical="center"/>
    </xf>
    <xf numFmtId="0" fontId="58" fillId="5" borderId="38" xfId="86" applyNumberFormat="1" applyFont="1" applyFill="1" applyBorder="1" applyAlignment="1" applyProtection="1">
      <alignment horizontal="left" vertical="center"/>
    </xf>
    <xf numFmtId="0" fontId="58" fillId="5" borderId="37" xfId="87" applyFont="1" applyFill="1" applyBorder="1" applyAlignment="1" applyProtection="1">
      <alignment horizontal="left" vertical="center"/>
    </xf>
    <xf numFmtId="0" fontId="58" fillId="0" borderId="2" xfId="87" applyFont="1" applyBorder="1" applyProtection="1"/>
    <xf numFmtId="0" fontId="58" fillId="0" borderId="38" xfId="87" applyFont="1" applyBorder="1" applyProtection="1"/>
    <xf numFmtId="0" fontId="58" fillId="5" borderId="37" xfId="67" applyFont="1" applyFill="1" applyBorder="1" applyAlignment="1" applyProtection="1">
      <alignment horizontal="left" vertical="center"/>
    </xf>
    <xf numFmtId="0" fontId="58" fillId="0" borderId="2" xfId="67" applyFont="1" applyBorder="1" applyProtection="1"/>
    <xf numFmtId="0" fontId="58" fillId="0" borderId="38" xfId="67" applyFont="1" applyBorder="1" applyProtection="1"/>
    <xf numFmtId="0" fontId="58" fillId="5" borderId="22"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14" xfId="0" applyFont="1" applyBorder="1" applyAlignment="1" applyProtection="1">
      <alignment horizontal="center"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58" fillId="5" borderId="38" xfId="0" applyFont="1" applyFill="1" applyBorder="1" applyAlignment="1" applyProtection="1">
      <alignment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164" fontId="58" fillId="0" borderId="14" xfId="1"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0" fillId="0" borderId="0" xfId="0"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horizontal="justify" vertical="top" wrapText="1"/>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04">
    <cellStyle name="Comma" xfId="1" builtinId="3"/>
    <cellStyle name="Comma 2" xfId="14"/>
    <cellStyle name="Comma 3" xfId="15"/>
    <cellStyle name="Currency" xfId="2" builtinId="4"/>
    <cellStyle name="Currency 2" xfId="16"/>
    <cellStyle name="Currency 3" xfId="17"/>
    <cellStyle name="Grey" xfId="3"/>
    <cellStyle name="Header1" xfId="4"/>
    <cellStyle name="Header2" xfId="5"/>
    <cellStyle name="Hyperlink" xfId="6" builtinId="8"/>
    <cellStyle name="Hyperlink 2" xfId="18"/>
    <cellStyle name="Hyperlink 3" xfId="19"/>
    <cellStyle name="Input [yellow]" xfId="7"/>
    <cellStyle name="Normal" xfId="0" builtinId="0"/>
    <cellStyle name="Normal - Style1" xfId="8"/>
    <cellStyle name="Normal - Style1 2" xfId="20"/>
    <cellStyle name="Normal - Style1 3" xfId="21"/>
    <cellStyle name="Normal 10" xfId="22"/>
    <cellStyle name="Normal 11" xfId="23"/>
    <cellStyle name="Normal 12" xfId="24"/>
    <cellStyle name="Normal 13" xfId="25"/>
    <cellStyle name="Normal 14" xfId="26"/>
    <cellStyle name="Normal 15" xfId="27"/>
    <cellStyle name="Normal 16" xfId="28"/>
    <cellStyle name="Normal 17" xfId="29"/>
    <cellStyle name="Normal 18" xfId="30"/>
    <cellStyle name="Normal 19" xfId="31"/>
    <cellStyle name="Normal 2" xfId="32"/>
    <cellStyle name="Normal 20" xfId="33"/>
    <cellStyle name="Normal 21" xfId="34"/>
    <cellStyle name="Normal 22" xfId="35"/>
    <cellStyle name="Normal 23" xfId="36"/>
    <cellStyle name="Normal 24" xfId="37"/>
    <cellStyle name="Normal 25" xfId="38"/>
    <cellStyle name="Normal 26" xfId="39"/>
    <cellStyle name="Normal 27" xfId="40"/>
    <cellStyle name="Normal 28" xfId="41"/>
    <cellStyle name="Normal 29" xfId="42"/>
    <cellStyle name="Normal 3" xfId="43"/>
    <cellStyle name="Normal 30" xfId="44"/>
    <cellStyle name="Normal 31" xfId="45"/>
    <cellStyle name="Normal 32" xfId="46"/>
    <cellStyle name="Normal 33" xfId="47"/>
    <cellStyle name="Normal 34" xfId="48"/>
    <cellStyle name="Normal 35" xfId="49"/>
    <cellStyle name="Normal 36" xfId="50"/>
    <cellStyle name="Normal 37" xfId="12"/>
    <cellStyle name="Normal 38" xfId="13"/>
    <cellStyle name="Normal 39" xfId="71"/>
    <cellStyle name="Normal 4" xfId="51"/>
    <cellStyle name="Normal 40" xfId="72"/>
    <cellStyle name="Normal 41" xfId="73"/>
    <cellStyle name="Normal 42" xfId="74"/>
    <cellStyle name="Normal 43" xfId="75"/>
    <cellStyle name="Normal 44" xfId="70"/>
    <cellStyle name="Normal 45" xfId="79"/>
    <cellStyle name="Normal 46" xfId="80"/>
    <cellStyle name="Normal 47" xfId="77"/>
    <cellStyle name="Normal 48" xfId="81"/>
    <cellStyle name="Normal 49" xfId="78"/>
    <cellStyle name="Normal 5" xfId="52"/>
    <cellStyle name="Normal 50" xfId="82"/>
    <cellStyle name="Normal 51" xfId="83"/>
    <cellStyle name="Normal 52" xfId="84"/>
    <cellStyle name="Normal 53" xfId="76"/>
    <cellStyle name="Normal 54" xfId="86"/>
    <cellStyle name="Normal 55" xfId="87"/>
    <cellStyle name="Normal 56" xfId="88"/>
    <cellStyle name="Normal 57" xfId="67"/>
    <cellStyle name="Normal 58" xfId="89"/>
    <cellStyle name="Normal 59" xfId="91"/>
    <cellStyle name="Normal 6" xfId="53"/>
    <cellStyle name="Normal 60" xfId="68"/>
    <cellStyle name="Normal 61" xfId="92"/>
    <cellStyle name="Normal 62" xfId="93"/>
    <cellStyle name="Normal 63" xfId="94"/>
    <cellStyle name="Normal 64" xfId="69"/>
    <cellStyle name="Normal 65" xfId="95"/>
    <cellStyle name="Normal 66" xfId="96"/>
    <cellStyle name="Normal 67" xfId="90"/>
    <cellStyle name="Normal 68" xfId="97"/>
    <cellStyle name="Normal 69" xfId="85"/>
    <cellStyle name="Normal 7" xfId="54"/>
    <cellStyle name="Normal 70" xfId="98"/>
    <cellStyle name="Normal 71" xfId="66"/>
    <cellStyle name="Normal 72" xfId="99"/>
    <cellStyle name="Normal 73" xfId="102"/>
    <cellStyle name="Normal 74" xfId="100"/>
    <cellStyle name="Normal 75" xfId="103"/>
    <cellStyle name="Normal 76" xfId="101"/>
    <cellStyle name="Normal 8" xfId="55"/>
    <cellStyle name="Normal 9" xfId="56"/>
    <cellStyle name="Normal_'96-'97 Rent Tables" xfId="9"/>
    <cellStyle name="Percent" xfId="10" builtinId="5"/>
    <cellStyle name="Percent [2]" xfId="11"/>
    <cellStyle name="Percent [2] 2" xfId="57"/>
    <cellStyle name="Percent [2] 3" xfId="58"/>
    <cellStyle name="Percent 2" xfId="59"/>
    <cellStyle name="Percent 3" xfId="60"/>
    <cellStyle name="Percent 4" xfId="61"/>
    <cellStyle name="Percent 5" xfId="62"/>
    <cellStyle name="Percent 6" xfId="63"/>
    <cellStyle name="Percent 7" xfId="64"/>
    <cellStyle name="Percent 8" xfId="65"/>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145" zoomScaleNormal="145" workbookViewId="0">
      <selection activeCell="C8" sqref="C8"/>
    </sheetView>
  </sheetViews>
  <sheetFormatPr defaultColWidth="9.109375" defaultRowHeight="13.2"/>
  <cols>
    <col min="1" max="1" width="3.5546875" style="42" customWidth="1"/>
    <col min="2" max="2" width="2.6640625" style="774" customWidth="1"/>
    <col min="3" max="4" width="16.6640625" style="774" customWidth="1"/>
    <col min="5" max="5" width="45.6640625" style="774" customWidth="1"/>
    <col min="6" max="6" width="44" style="42" customWidth="1"/>
    <col min="7" max="7" width="4.6640625" style="42" customWidth="1"/>
    <col min="8" max="16384" width="9.109375" style="31"/>
  </cols>
  <sheetData>
    <row r="1" spans="1:9" s="42" customFormat="1" ht="14.4" customHeight="1">
      <c r="A1" s="926" t="str">
        <f>CONCATENATE("2011 Application Binder Tabs Checklist For: ",'Part I-Project Information'!$O$4,", ",'Part I-Project Information'!$F$22,", ",'Part I-Project Information'!$J$25," County")</f>
        <v>2011 Application Binder Tabs Checklist For: 2011-003, Pecan Point Apartments, Bleckley County</v>
      </c>
      <c r="B1" s="926"/>
      <c r="C1" s="926"/>
      <c r="D1" s="926"/>
      <c r="E1" s="926"/>
      <c r="F1" s="926"/>
      <c r="G1" s="926"/>
    </row>
    <row r="2" spans="1:9" s="42" customFormat="1" ht="11.4" customHeight="1">
      <c r="A2" s="927" t="s">
        <v>712</v>
      </c>
      <c r="B2" s="928"/>
      <c r="C2" s="928"/>
      <c r="D2" s="928"/>
      <c r="E2" s="928"/>
      <c r="F2" s="928"/>
      <c r="G2" s="928"/>
    </row>
    <row r="3" spans="1:9" s="42" customFormat="1" ht="25.2" customHeight="1">
      <c r="A3" s="920" t="s">
        <v>3826</v>
      </c>
      <c r="B3" s="920"/>
      <c r="C3" s="920"/>
      <c r="D3" s="920"/>
      <c r="E3" s="920"/>
      <c r="F3" s="920"/>
      <c r="G3" s="920"/>
    </row>
    <row r="4" spans="1:9" s="42" customFormat="1" ht="8.25" customHeight="1">
      <c r="A4" s="98"/>
      <c r="B4" s="929" t="s">
        <v>1337</v>
      </c>
      <c r="C4" s="930"/>
      <c r="D4" s="930"/>
      <c r="E4" s="930" t="s">
        <v>3892</v>
      </c>
      <c r="F4" s="935"/>
      <c r="G4" s="99" t="s">
        <v>780</v>
      </c>
    </row>
    <row r="5" spans="1:9" s="42" customFormat="1" ht="8.25" customHeight="1">
      <c r="A5" s="100" t="s">
        <v>782</v>
      </c>
      <c r="B5" s="931"/>
      <c r="C5" s="932"/>
      <c r="D5" s="932"/>
      <c r="E5" s="932"/>
      <c r="F5" s="936"/>
      <c r="G5" s="101" t="s">
        <v>783</v>
      </c>
    </row>
    <row r="6" spans="1:9" s="42" customFormat="1" ht="8.25" customHeight="1">
      <c r="A6" s="102" t="s">
        <v>784</v>
      </c>
      <c r="B6" s="933"/>
      <c r="C6" s="934"/>
      <c r="D6" s="934"/>
      <c r="E6" s="934"/>
      <c r="F6" s="937"/>
      <c r="G6" s="103" t="s">
        <v>785</v>
      </c>
    </row>
    <row r="7" spans="1:9" s="42" customFormat="1" ht="3" customHeight="1">
      <c r="A7" s="100"/>
      <c r="B7" s="394"/>
      <c r="C7" s="394"/>
      <c r="D7" s="394"/>
      <c r="E7" s="306"/>
      <c r="F7" s="712"/>
      <c r="G7" s="311"/>
    </row>
    <row r="8" spans="1:9" s="42" customFormat="1" ht="12.6" customHeight="1" thickBot="1">
      <c r="A8" s="104"/>
      <c r="B8" s="709"/>
      <c r="C8" s="391"/>
      <c r="D8" s="391"/>
      <c r="E8" s="709" t="s">
        <v>1074</v>
      </c>
      <c r="F8" s="391"/>
      <c r="G8" s="750" t="s">
        <v>3918</v>
      </c>
      <c r="I8" s="751"/>
    </row>
    <row r="9" spans="1:9" s="42" customFormat="1" ht="12.6" customHeight="1" thickBot="1">
      <c r="A9" s="100"/>
      <c r="B9" s="404" t="s">
        <v>1421</v>
      </c>
      <c r="C9" s="404"/>
      <c r="D9" s="405"/>
      <c r="E9" s="306"/>
      <c r="F9" s="712"/>
      <c r="G9" s="712"/>
    </row>
    <row r="10" spans="1:9" s="42" customFormat="1" ht="12" customHeight="1">
      <c r="A10" s="387">
        <v>1</v>
      </c>
      <c r="B10" s="406" t="s">
        <v>2136</v>
      </c>
      <c r="C10" s="241"/>
      <c r="D10" s="392"/>
      <c r="E10" s="392" t="s">
        <v>2307</v>
      </c>
      <c r="F10" s="392"/>
      <c r="G10" s="750" t="s">
        <v>3918</v>
      </c>
    </row>
    <row r="11" spans="1:9" s="42" customFormat="1" ht="12" customHeight="1">
      <c r="A11" s="104"/>
      <c r="B11" s="392"/>
      <c r="C11" s="392"/>
      <c r="D11" s="392"/>
      <c r="E11" s="392" t="s">
        <v>2137</v>
      </c>
      <c r="F11" s="392"/>
      <c r="G11" s="750" t="s">
        <v>3918</v>
      </c>
    </row>
    <row r="12" spans="1:9" s="42" customFormat="1" ht="12" customHeight="1">
      <c r="A12" s="104"/>
      <c r="B12" s="392"/>
      <c r="C12" s="418"/>
      <c r="D12" s="752"/>
      <c r="E12" s="392" t="s">
        <v>803</v>
      </c>
      <c r="F12" s="391"/>
      <c r="G12" s="750" t="s">
        <v>3918</v>
      </c>
    </row>
    <row r="13" spans="1:9" s="42" customFormat="1" ht="12" customHeight="1">
      <c r="A13" s="104"/>
      <c r="B13" s="392"/>
      <c r="C13" s="392"/>
      <c r="D13" s="392"/>
      <c r="E13" s="393" t="s">
        <v>638</v>
      </c>
      <c r="F13" s="392"/>
      <c r="G13" s="750" t="s">
        <v>2252</v>
      </c>
    </row>
    <row r="14" spans="1:9" s="42" customFormat="1" ht="12" customHeight="1">
      <c r="A14" s="104"/>
      <c r="B14" s="392"/>
      <c r="C14" s="392"/>
      <c r="D14" s="392"/>
      <c r="E14" s="393" t="s">
        <v>2138</v>
      </c>
      <c r="F14" s="392"/>
      <c r="G14" s="750" t="s">
        <v>2252</v>
      </c>
    </row>
    <row r="15" spans="1:9" s="42" customFormat="1" ht="12" customHeight="1">
      <c r="A15" s="104"/>
      <c r="B15" s="392"/>
      <c r="C15" s="392"/>
      <c r="D15" s="392"/>
      <c r="E15" s="393" t="s">
        <v>804</v>
      </c>
      <c r="F15" s="392"/>
      <c r="G15" s="750" t="s">
        <v>3918</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3766</v>
      </c>
      <c r="F17" s="392"/>
      <c r="G17" s="750" t="s">
        <v>3918</v>
      </c>
    </row>
    <row r="18" spans="1:7" s="42" customFormat="1" ht="3" customHeight="1">
      <c r="A18" s="104"/>
      <c r="B18" s="241"/>
      <c r="C18" s="392"/>
      <c r="D18" s="392"/>
      <c r="E18" s="752"/>
      <c r="F18" s="392"/>
      <c r="G18" s="105"/>
    </row>
    <row r="19" spans="1:7" s="42" customFormat="1" ht="12" customHeight="1">
      <c r="A19" s="104"/>
      <c r="B19" s="241"/>
      <c r="C19" s="407" t="s">
        <v>145</v>
      </c>
      <c r="D19" s="392"/>
      <c r="E19" s="752" t="s">
        <v>146</v>
      </c>
      <c r="F19" s="392"/>
      <c r="G19" s="750" t="s">
        <v>2252</v>
      </c>
    </row>
    <row r="20" spans="1:7" s="42" customFormat="1" ht="3" customHeight="1">
      <c r="A20" s="104"/>
      <c r="B20" s="241"/>
      <c r="C20" s="392"/>
      <c r="D20" s="392"/>
      <c r="E20" s="752"/>
      <c r="F20" s="392"/>
      <c r="G20" s="105"/>
    </row>
    <row r="21" spans="1:7" s="42" customFormat="1" ht="12" customHeight="1">
      <c r="A21" s="100"/>
      <c r="B21" s="394"/>
      <c r="C21" s="407" t="s">
        <v>147</v>
      </c>
      <c r="D21" s="394"/>
      <c r="E21" s="921" t="s">
        <v>149</v>
      </c>
      <c r="F21" s="922"/>
      <c r="G21" s="750" t="s">
        <v>2252</v>
      </c>
    </row>
    <row r="22" spans="1:7" s="42" customFormat="1" ht="12" customHeight="1">
      <c r="A22" s="100"/>
      <c r="B22" s="394"/>
      <c r="C22" s="394"/>
      <c r="D22" s="394"/>
      <c r="E22" s="921" t="s">
        <v>150</v>
      </c>
      <c r="F22" s="922"/>
      <c r="G22" s="750" t="s">
        <v>2252</v>
      </c>
    </row>
    <row r="23" spans="1:7" s="42" customFormat="1" ht="12" customHeight="1">
      <c r="A23" s="100"/>
      <c r="B23" s="394"/>
      <c r="C23" s="394"/>
      <c r="D23" s="394"/>
      <c r="E23" s="396" t="s">
        <v>509</v>
      </c>
      <c r="F23" s="395"/>
      <c r="G23" s="750" t="s">
        <v>2252</v>
      </c>
    </row>
    <row r="24" spans="1:7" s="42" customFormat="1" ht="12" customHeight="1">
      <c r="A24" s="100"/>
      <c r="B24" s="394"/>
      <c r="C24" s="394"/>
      <c r="D24" s="394"/>
      <c r="E24" s="396" t="s">
        <v>510</v>
      </c>
      <c r="F24" s="395"/>
      <c r="G24" s="750" t="s">
        <v>2252</v>
      </c>
    </row>
    <row r="25" spans="1:7" s="42" customFormat="1" ht="3" customHeight="1">
      <c r="A25" s="104"/>
      <c r="B25" s="241"/>
      <c r="C25" s="392"/>
      <c r="D25" s="392"/>
      <c r="E25" s="752"/>
      <c r="F25" s="392"/>
      <c r="G25" s="105"/>
    </row>
    <row r="26" spans="1:7" s="42" customFormat="1" ht="12" customHeight="1">
      <c r="A26" s="104"/>
      <c r="B26" s="709"/>
      <c r="C26" s="407" t="s">
        <v>945</v>
      </c>
      <c r="D26" s="392"/>
      <c r="E26" s="392" t="s">
        <v>3767</v>
      </c>
      <c r="F26" s="392"/>
      <c r="G26" s="750" t="s">
        <v>3918</v>
      </c>
    </row>
    <row r="27" spans="1:7" s="42" customFormat="1" ht="12" customHeight="1">
      <c r="A27" s="104"/>
      <c r="B27" s="392"/>
      <c r="C27" s="392"/>
      <c r="D27" s="392"/>
      <c r="E27" s="752" t="s">
        <v>3501</v>
      </c>
      <c r="F27" s="392"/>
      <c r="G27" s="750" t="s">
        <v>3918</v>
      </c>
    </row>
    <row r="28" spans="1:7" s="42" customFormat="1" ht="12" customHeight="1">
      <c r="A28" s="104"/>
      <c r="B28" s="392"/>
      <c r="C28" s="418"/>
      <c r="D28" s="392"/>
      <c r="E28" s="752" t="s">
        <v>2140</v>
      </c>
      <c r="F28" s="392"/>
      <c r="G28" s="750" t="s">
        <v>2252</v>
      </c>
    </row>
    <row r="29" spans="1:7" s="42" customFormat="1" ht="12" customHeight="1">
      <c r="A29" s="104"/>
      <c r="B29" s="392"/>
      <c r="C29" s="392"/>
      <c r="D29" s="392"/>
      <c r="E29" s="752" t="s">
        <v>2141</v>
      </c>
      <c r="F29" s="392"/>
      <c r="G29" s="750" t="s">
        <v>3918</v>
      </c>
    </row>
    <row r="30" spans="1:7" s="42" customFormat="1" ht="12" customHeight="1">
      <c r="A30" s="104"/>
      <c r="B30" s="392"/>
      <c r="C30" s="392"/>
      <c r="D30" s="392"/>
      <c r="E30" s="752" t="s">
        <v>2854</v>
      </c>
      <c r="F30" s="392"/>
      <c r="G30" s="750" t="s">
        <v>2252</v>
      </c>
    </row>
    <row r="31" spans="1:7" s="42" customFormat="1" ht="12" customHeight="1">
      <c r="A31" s="104"/>
      <c r="B31" s="392"/>
      <c r="C31" s="392"/>
      <c r="D31" s="392"/>
      <c r="E31" s="752" t="s">
        <v>2855</v>
      </c>
      <c r="F31" s="392"/>
      <c r="G31" s="750" t="s">
        <v>2252</v>
      </c>
    </row>
    <row r="32" spans="1:7" s="42" customFormat="1" ht="12" customHeight="1">
      <c r="A32" s="104"/>
      <c r="B32" s="392"/>
      <c r="C32" s="392"/>
      <c r="D32" s="392"/>
      <c r="E32" s="752" t="s">
        <v>2856</v>
      </c>
      <c r="F32" s="392"/>
      <c r="G32" s="750" t="s">
        <v>2252</v>
      </c>
    </row>
    <row r="33" spans="1:7" s="42" customFormat="1" ht="3" customHeight="1">
      <c r="A33" s="104"/>
      <c r="B33" s="392"/>
      <c r="C33" s="392"/>
      <c r="D33" s="392"/>
      <c r="E33" s="752"/>
      <c r="F33" s="392"/>
      <c r="G33" s="105"/>
    </row>
    <row r="34" spans="1:7" s="42" customFormat="1" ht="12" customHeight="1">
      <c r="A34" s="100"/>
      <c r="B34" s="394"/>
      <c r="C34" s="394" t="s">
        <v>1023</v>
      </c>
      <c r="D34" s="394"/>
      <c r="E34" s="396" t="s">
        <v>3573</v>
      </c>
      <c r="F34" s="395"/>
      <c r="G34" s="750" t="s">
        <v>2252</v>
      </c>
    </row>
    <row r="35" spans="1:7" s="42" customFormat="1" ht="12" customHeight="1">
      <c r="A35" s="100"/>
      <c r="B35" s="394"/>
      <c r="C35" s="394"/>
      <c r="D35" s="394"/>
      <c r="E35" s="396" t="s">
        <v>3574</v>
      </c>
      <c r="F35" s="395"/>
      <c r="G35" s="750" t="s">
        <v>2252</v>
      </c>
    </row>
    <row r="36" spans="1:7" s="42" customFormat="1" ht="12" customHeight="1">
      <c r="A36" s="100"/>
      <c r="B36" s="394"/>
      <c r="C36" s="394"/>
      <c r="D36" s="394"/>
      <c r="E36" s="396" t="s">
        <v>184</v>
      </c>
      <c r="F36" s="395"/>
      <c r="G36" s="750" t="s">
        <v>2252</v>
      </c>
    </row>
    <row r="37" spans="1:7" s="42" customFormat="1" ht="12" customHeight="1">
      <c r="A37" s="100"/>
      <c r="B37" s="394"/>
      <c r="C37" s="394"/>
      <c r="D37" s="394"/>
      <c r="E37" s="396" t="s">
        <v>3575</v>
      </c>
      <c r="F37" s="395"/>
      <c r="G37" s="750" t="s">
        <v>2252</v>
      </c>
    </row>
    <row r="38" spans="1:7" s="42" customFormat="1" ht="12" customHeight="1">
      <c r="A38" s="104"/>
      <c r="B38" s="241"/>
      <c r="C38" s="392"/>
      <c r="D38" s="392"/>
      <c r="E38" s="396" t="s">
        <v>3498</v>
      </c>
      <c r="F38" s="392"/>
      <c r="G38" s="750" t="s">
        <v>2252</v>
      </c>
    </row>
    <row r="39" spans="1:7" s="42" customFormat="1" ht="12" customHeight="1">
      <c r="A39" s="104"/>
      <c r="B39" s="241"/>
      <c r="C39" s="392"/>
      <c r="D39" s="392"/>
      <c r="E39" s="396" t="s">
        <v>3908</v>
      </c>
      <c r="F39" s="392"/>
      <c r="G39" s="750" t="s">
        <v>2252</v>
      </c>
    </row>
    <row r="40" spans="1:7" s="42" customFormat="1" ht="12" customHeight="1">
      <c r="A40" s="100"/>
      <c r="B40" s="394"/>
      <c r="C40" s="394"/>
      <c r="D40" s="394"/>
      <c r="E40" s="396" t="s">
        <v>1904</v>
      </c>
      <c r="F40" s="395"/>
      <c r="G40" s="750" t="s">
        <v>2252</v>
      </c>
    </row>
    <row r="41" spans="1:7" s="42" customFormat="1" ht="12" customHeight="1">
      <c r="A41" s="100"/>
      <c r="B41" s="394"/>
      <c r="C41" s="394"/>
      <c r="D41" s="394"/>
      <c r="E41" s="396" t="s">
        <v>1903</v>
      </c>
      <c r="F41" s="395"/>
      <c r="G41" s="750" t="s">
        <v>2252</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750" t="s">
        <v>3918</v>
      </c>
    </row>
    <row r="44" spans="1:7" s="42" customFormat="1" ht="12" customHeight="1">
      <c r="A44" s="104"/>
      <c r="B44" s="241"/>
      <c r="C44" s="709"/>
      <c r="D44" s="392"/>
      <c r="E44" s="396" t="s">
        <v>3419</v>
      </c>
      <c r="F44" s="392"/>
      <c r="G44" s="750" t="s">
        <v>3918</v>
      </c>
    </row>
    <row r="45" spans="1:7" s="42" customFormat="1" ht="12" customHeight="1">
      <c r="A45" s="104"/>
      <c r="B45" s="241"/>
      <c r="C45" s="709"/>
      <c r="D45" s="392"/>
      <c r="E45" s="392" t="s">
        <v>3420</v>
      </c>
      <c r="F45" s="392"/>
      <c r="G45" s="750" t="s">
        <v>2252</v>
      </c>
    </row>
    <row r="46" spans="1:7" s="42" customFormat="1" ht="12" customHeight="1">
      <c r="A46" s="104"/>
      <c r="B46" s="241"/>
      <c r="C46" s="392"/>
      <c r="D46" s="392"/>
      <c r="E46" s="392" t="s">
        <v>3421</v>
      </c>
      <c r="F46" s="392"/>
      <c r="G46" s="750" t="s">
        <v>2252</v>
      </c>
    </row>
    <row r="47" spans="1:7" s="42" customFormat="1" ht="24.6" customHeight="1">
      <c r="A47" s="104"/>
      <c r="B47" s="241"/>
      <c r="C47" s="392"/>
      <c r="D47" s="392"/>
      <c r="E47" s="923" t="s">
        <v>3857</v>
      </c>
      <c r="F47" s="924"/>
      <c r="G47" s="750" t="s">
        <v>3918</v>
      </c>
    </row>
    <row r="48" spans="1:7" s="42" customFormat="1" ht="12" customHeight="1">
      <c r="A48" s="104"/>
      <c r="B48" s="241"/>
      <c r="C48" s="392"/>
      <c r="D48" s="392"/>
      <c r="E48" s="392" t="s">
        <v>3482</v>
      </c>
      <c r="F48" s="396"/>
      <c r="G48" s="750" t="s">
        <v>3918</v>
      </c>
    </row>
    <row r="49" spans="1:7" s="42" customFormat="1" ht="12" customHeight="1">
      <c r="A49" s="104"/>
      <c r="B49" s="241"/>
      <c r="C49" s="392"/>
      <c r="D49" s="392"/>
      <c r="E49" s="396" t="s">
        <v>3422</v>
      </c>
      <c r="F49" s="396"/>
      <c r="G49" s="750" t="s">
        <v>3918</v>
      </c>
    </row>
    <row r="50" spans="1:7" s="42" customFormat="1" ht="12" customHeight="1">
      <c r="A50" s="107"/>
      <c r="B50" s="241"/>
      <c r="C50" s="392"/>
      <c r="D50" s="392"/>
      <c r="E50" s="919" t="s">
        <v>466</v>
      </c>
      <c r="F50" s="910"/>
      <c r="G50" s="750" t="s">
        <v>2252</v>
      </c>
    </row>
    <row r="51" spans="1:7" s="42" customFormat="1" ht="12" customHeight="1">
      <c r="A51" s="387">
        <v>4</v>
      </c>
      <c r="B51" s="753" t="s">
        <v>1021</v>
      </c>
      <c r="C51" s="392"/>
      <c r="D51" s="392"/>
      <c r="E51" s="752" t="s">
        <v>1410</v>
      </c>
      <c r="F51" s="392"/>
      <c r="G51" s="750" t="s">
        <v>3918</v>
      </c>
    </row>
    <row r="52" spans="1:7" s="42" customFormat="1" ht="12" customHeight="1">
      <c r="A52" s="387"/>
      <c r="B52" s="753"/>
      <c r="C52" s="392"/>
      <c r="D52" s="392"/>
      <c r="E52" s="752" t="s">
        <v>3581</v>
      </c>
      <c r="F52" s="392"/>
      <c r="G52" s="750" t="s">
        <v>3918</v>
      </c>
    </row>
    <row r="53" spans="1:7" s="42" customFormat="1" ht="12.6" customHeight="1">
      <c r="A53" s="104"/>
      <c r="B53" s="392"/>
      <c r="C53" s="392"/>
      <c r="D53" s="752"/>
      <c r="E53" s="397" t="s">
        <v>3544</v>
      </c>
      <c r="F53" s="396"/>
      <c r="G53" s="750" t="s">
        <v>2252</v>
      </c>
    </row>
    <row r="54" spans="1:7" s="42" customFormat="1" ht="12.6" customHeight="1">
      <c r="A54" s="104"/>
      <c r="B54" s="392"/>
      <c r="C54" s="392"/>
      <c r="D54" s="752"/>
      <c r="E54" s="397" t="s">
        <v>3764</v>
      </c>
      <c r="F54" s="392"/>
      <c r="G54" s="750" t="s">
        <v>2252</v>
      </c>
    </row>
    <row r="55" spans="1:7" s="42" customFormat="1" ht="12" customHeight="1">
      <c r="A55" s="387"/>
      <c r="B55" s="753"/>
      <c r="C55" s="392"/>
      <c r="D55" s="392"/>
      <c r="E55" s="752" t="s">
        <v>2654</v>
      </c>
      <c r="F55" s="392"/>
      <c r="G55" s="750" t="s">
        <v>2252</v>
      </c>
    </row>
    <row r="56" spans="1:7" s="42" customFormat="1" ht="12" customHeight="1">
      <c r="A56" s="387"/>
      <c r="B56" s="753"/>
      <c r="C56" s="392"/>
      <c r="D56" s="392"/>
      <c r="E56" s="752" t="s">
        <v>3502</v>
      </c>
      <c r="F56" s="392"/>
      <c r="G56" s="750" t="s">
        <v>2252</v>
      </c>
    </row>
    <row r="57" spans="1:7" s="42" customFormat="1" ht="12" customHeight="1">
      <c r="A57" s="387"/>
      <c r="B57" s="753"/>
      <c r="C57" s="392"/>
      <c r="D57" s="392"/>
      <c r="E57" s="752" t="s">
        <v>2655</v>
      </c>
      <c r="F57" s="392"/>
      <c r="G57" s="750" t="s">
        <v>2252</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2688</v>
      </c>
      <c r="F59" s="398"/>
      <c r="G59" s="750" t="s">
        <v>3918</v>
      </c>
    </row>
    <row r="60" spans="1:7" s="42" customFormat="1" ht="12" customHeight="1">
      <c r="A60" s="387"/>
      <c r="B60" s="406"/>
      <c r="C60" s="392"/>
      <c r="D60" s="392"/>
      <c r="E60" s="398" t="s">
        <v>1840</v>
      </c>
      <c r="F60" s="398"/>
      <c r="G60" s="750" t="s">
        <v>2252</v>
      </c>
    </row>
    <row r="61" spans="1:7" s="42" customFormat="1" ht="12" customHeight="1">
      <c r="A61" s="387"/>
      <c r="B61" s="406"/>
      <c r="C61" s="392"/>
      <c r="D61" s="392"/>
      <c r="E61" s="398" t="s">
        <v>1841</v>
      </c>
      <c r="F61" s="398"/>
      <c r="G61" s="750" t="s">
        <v>2252</v>
      </c>
    </row>
    <row r="62" spans="1:7" s="42" customFormat="1" ht="12" customHeight="1">
      <c r="A62" s="387"/>
      <c r="B62" s="406"/>
      <c r="C62" s="392"/>
      <c r="D62" s="392"/>
      <c r="E62" s="398" t="s">
        <v>1842</v>
      </c>
      <c r="F62" s="398"/>
      <c r="G62" s="750" t="s">
        <v>2252</v>
      </c>
    </row>
    <row r="63" spans="1:7" s="42" customFormat="1" ht="12" customHeight="1">
      <c r="A63" s="387"/>
      <c r="B63" s="406"/>
      <c r="C63" s="392"/>
      <c r="D63" s="392"/>
      <c r="E63" s="398" t="s">
        <v>2735</v>
      </c>
      <c r="F63" s="398"/>
      <c r="G63" s="750" t="s">
        <v>2252</v>
      </c>
    </row>
    <row r="64" spans="1:7" s="42" customFormat="1" ht="12" customHeight="1">
      <c r="A64" s="104"/>
      <c r="B64" s="392"/>
      <c r="C64" s="392"/>
      <c r="D64" s="392"/>
      <c r="E64" s="752" t="s">
        <v>1843</v>
      </c>
      <c r="F64" s="398"/>
      <c r="G64" s="750" t="s">
        <v>2252</v>
      </c>
    </row>
    <row r="65" spans="1:7" s="42" customFormat="1" ht="12" customHeight="1">
      <c r="A65" s="104"/>
      <c r="B65" s="392"/>
      <c r="C65" s="392"/>
      <c r="D65" s="392"/>
      <c r="E65" s="752" t="s">
        <v>1844</v>
      </c>
      <c r="F65" s="392"/>
      <c r="G65" s="750" t="s">
        <v>2252</v>
      </c>
    </row>
    <row r="66" spans="1:7" s="42" customFormat="1" ht="12" customHeight="1">
      <c r="A66" s="104"/>
      <c r="B66" s="392"/>
      <c r="C66" s="418"/>
      <c r="D66" s="392"/>
      <c r="E66" s="938" t="s">
        <v>1845</v>
      </c>
      <c r="F66" s="939"/>
      <c r="G66" s="750" t="s">
        <v>2252</v>
      </c>
    </row>
    <row r="67" spans="1:7" s="42" customFormat="1" ht="12" customHeight="1">
      <c r="A67" s="104"/>
      <c r="B67" s="392"/>
      <c r="C67" s="418"/>
      <c r="D67" s="392"/>
      <c r="E67" s="441" t="s">
        <v>1846</v>
      </c>
      <c r="F67" s="399"/>
      <c r="G67" s="750" t="s">
        <v>2252</v>
      </c>
    </row>
    <row r="68" spans="1:7" s="42" customFormat="1" ht="12" customHeight="1">
      <c r="A68" s="104"/>
      <c r="B68" s="392"/>
      <c r="C68" s="392"/>
      <c r="D68" s="392"/>
      <c r="E68" s="752" t="s">
        <v>1900</v>
      </c>
      <c r="F68" s="398"/>
      <c r="G68" s="750" t="s">
        <v>2252</v>
      </c>
    </row>
    <row r="69" spans="1:7" s="42" customFormat="1" ht="12" customHeight="1">
      <c r="A69" s="104"/>
      <c r="B69" s="392"/>
      <c r="C69" s="392"/>
      <c r="D69" s="392"/>
      <c r="E69" s="752" t="s">
        <v>1847</v>
      </c>
      <c r="F69" s="398"/>
      <c r="G69" s="750" t="s">
        <v>2252</v>
      </c>
    </row>
    <row r="70" spans="1:7" s="42" customFormat="1" ht="12" customHeight="1">
      <c r="A70" s="104"/>
      <c r="B70" s="392"/>
      <c r="C70" s="392"/>
      <c r="D70" s="392"/>
      <c r="E70" s="398" t="s">
        <v>1848</v>
      </c>
      <c r="F70" s="398"/>
      <c r="G70" s="750" t="s">
        <v>2252</v>
      </c>
    </row>
    <row r="71" spans="1:7" s="42" customFormat="1" ht="12" customHeight="1">
      <c r="A71" s="104"/>
      <c r="B71" s="392"/>
      <c r="C71" s="392"/>
      <c r="D71" s="392"/>
      <c r="E71" s="398" t="s">
        <v>320</v>
      </c>
      <c r="F71" s="398"/>
      <c r="G71" s="750" t="s">
        <v>3918</v>
      </c>
    </row>
    <row r="72" spans="1:7" s="42" customFormat="1" ht="12" customHeight="1">
      <c r="A72" s="104"/>
      <c r="B72" s="392"/>
      <c r="C72" s="392"/>
      <c r="D72" s="392"/>
      <c r="E72" s="398" t="s">
        <v>640</v>
      </c>
      <c r="F72" s="398"/>
      <c r="G72" s="750" t="s">
        <v>2252</v>
      </c>
    </row>
    <row r="73" spans="1:7" s="42" customFormat="1" ht="12" customHeight="1">
      <c r="A73" s="104"/>
      <c r="B73" s="392"/>
      <c r="C73" s="413"/>
      <c r="D73" s="413"/>
      <c r="E73" s="396" t="s">
        <v>1902</v>
      </c>
      <c r="F73" s="400"/>
      <c r="G73" s="750" t="s">
        <v>2252</v>
      </c>
    </row>
    <row r="74" spans="1:7" s="42" customFormat="1" ht="12" customHeight="1">
      <c r="A74" s="104"/>
      <c r="B74" s="392"/>
      <c r="C74" s="392"/>
      <c r="D74" s="392"/>
      <c r="E74" s="398" t="s">
        <v>3511</v>
      </c>
      <c r="F74" s="398"/>
      <c r="G74" s="750" t="s">
        <v>2252</v>
      </c>
    </row>
    <row r="75" spans="1:7" s="42" customFormat="1" ht="6" customHeight="1">
      <c r="A75" s="104"/>
      <c r="B75" s="392"/>
      <c r="C75" s="392"/>
      <c r="D75" s="392"/>
      <c r="E75" s="752"/>
      <c r="F75" s="398"/>
      <c r="G75" s="147"/>
    </row>
    <row r="76" spans="1:7" s="42" customFormat="1" ht="12" customHeight="1">
      <c r="A76" s="387">
        <v>6</v>
      </c>
      <c r="B76" s="412" t="s">
        <v>1022</v>
      </c>
      <c r="C76" s="241"/>
      <c r="D76" s="392"/>
      <c r="E76" s="392" t="s">
        <v>3503</v>
      </c>
      <c r="F76" s="392"/>
      <c r="G76" s="750" t="s">
        <v>3918</v>
      </c>
    </row>
    <row r="77" spans="1:7" s="42" customFormat="1" ht="12" customHeight="1">
      <c r="A77" s="104"/>
      <c r="B77" s="392"/>
      <c r="C77" s="413"/>
      <c r="D77" s="413"/>
      <c r="E77" s="396" t="s">
        <v>3858</v>
      </c>
      <c r="F77" s="400"/>
      <c r="G77" s="750" t="s">
        <v>3918</v>
      </c>
    </row>
    <row r="78" spans="1:7" s="42" customFormat="1" ht="12" customHeight="1">
      <c r="A78" s="104"/>
      <c r="B78" s="392"/>
      <c r="C78" s="413"/>
      <c r="D78" s="413"/>
      <c r="E78" s="396" t="s">
        <v>3859</v>
      </c>
      <c r="F78" s="400"/>
      <c r="G78" s="750" t="s">
        <v>3918</v>
      </c>
    </row>
    <row r="79" spans="1:7" s="42" customFormat="1" ht="12" customHeight="1">
      <c r="A79" s="104"/>
      <c r="B79" s="392"/>
      <c r="C79" s="392"/>
      <c r="D79" s="392"/>
      <c r="E79" s="392" t="s">
        <v>3860</v>
      </c>
      <c r="F79" s="392"/>
      <c r="G79" s="750" t="s">
        <v>3918</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750" t="s">
        <v>3918</v>
      </c>
    </row>
    <row r="82" spans="1:7" s="42" customFormat="1" ht="6" customHeight="1">
      <c r="A82" s="104"/>
      <c r="B82" s="241"/>
      <c r="C82" s="709"/>
      <c r="D82" s="392"/>
      <c r="E82" s="398"/>
      <c r="F82" s="398"/>
      <c r="G82" s="147"/>
    </row>
    <row r="83" spans="1:7" s="42" customFormat="1" ht="12" customHeight="1">
      <c r="A83" s="387">
        <v>8</v>
      </c>
      <c r="B83" s="408" t="s">
        <v>3424</v>
      </c>
      <c r="C83" s="241"/>
      <c r="D83" s="392"/>
      <c r="E83" s="398" t="s">
        <v>1901</v>
      </c>
      <c r="F83" s="398"/>
      <c r="G83" s="750" t="s">
        <v>3918</v>
      </c>
    </row>
    <row r="84" spans="1:7" s="42" customFormat="1" ht="12" customHeight="1">
      <c r="A84" s="104"/>
      <c r="B84" s="241"/>
      <c r="C84" s="709"/>
      <c r="D84" s="392"/>
      <c r="E84" s="398" t="s">
        <v>3794</v>
      </c>
      <c r="F84" s="398"/>
      <c r="G84" s="750" t="s">
        <v>2252</v>
      </c>
    </row>
    <row r="85" spans="1:7" s="42" customFormat="1" ht="6" customHeight="1">
      <c r="A85" s="104"/>
      <c r="B85" s="709"/>
      <c r="C85" s="392"/>
      <c r="D85" s="392"/>
      <c r="E85" s="752"/>
      <c r="F85" s="398"/>
      <c r="G85" s="314"/>
    </row>
    <row r="86" spans="1:7" s="42" customFormat="1" ht="12" customHeight="1">
      <c r="A86" s="387">
        <v>9</v>
      </c>
      <c r="B86" s="406" t="s">
        <v>3701</v>
      </c>
      <c r="C86" s="241"/>
      <c r="D86" s="392"/>
      <c r="E86" s="752" t="s">
        <v>3879</v>
      </c>
      <c r="F86" s="398"/>
      <c r="G86" s="750" t="s">
        <v>3918</v>
      </c>
    </row>
    <row r="87" spans="1:7" s="42" customFormat="1" ht="6" customHeight="1">
      <c r="A87" s="100"/>
      <c r="B87" s="394"/>
      <c r="C87" s="241"/>
      <c r="D87" s="394"/>
      <c r="E87" s="394"/>
      <c r="F87" s="395"/>
      <c r="G87" s="312"/>
    </row>
    <row r="88" spans="1:7" s="42" customFormat="1" ht="13.95" customHeight="1">
      <c r="A88" s="387">
        <v>10</v>
      </c>
      <c r="B88" s="406" t="s">
        <v>731</v>
      </c>
      <c r="C88" s="241"/>
      <c r="D88" s="392"/>
      <c r="E88" s="392" t="s">
        <v>312</v>
      </c>
      <c r="F88" s="392"/>
      <c r="G88" s="750" t="s">
        <v>3918</v>
      </c>
    </row>
    <row r="89" spans="1:7" s="42" customFormat="1" ht="6" customHeight="1">
      <c r="A89" s="100"/>
      <c r="B89" s="394"/>
      <c r="C89" s="241"/>
      <c r="D89" s="394"/>
      <c r="E89" s="394"/>
      <c r="F89" s="395"/>
      <c r="G89" s="312"/>
    </row>
    <row r="90" spans="1:7" s="42" customFormat="1" ht="12" customHeight="1">
      <c r="A90" s="387">
        <v>11</v>
      </c>
      <c r="B90" s="406" t="s">
        <v>331</v>
      </c>
      <c r="C90" s="241"/>
      <c r="D90" s="392"/>
      <c r="E90" s="909" t="s">
        <v>3884</v>
      </c>
      <c r="F90" s="925"/>
      <c r="G90" s="750" t="s">
        <v>3918</v>
      </c>
    </row>
    <row r="91" spans="1:7" s="42" customFormat="1" ht="12" customHeight="1">
      <c r="A91" s="107"/>
      <c r="B91" s="392"/>
      <c r="C91" s="391"/>
      <c r="D91" s="752"/>
      <c r="E91" s="392" t="s">
        <v>305</v>
      </c>
      <c r="F91" s="392"/>
      <c r="G91" s="750" t="s">
        <v>2252</v>
      </c>
    </row>
    <row r="92" spans="1:7" s="42" customFormat="1" ht="12" customHeight="1">
      <c r="A92" s="387">
        <v>12</v>
      </c>
      <c r="B92" s="406" t="s">
        <v>1599</v>
      </c>
      <c r="C92" s="241"/>
      <c r="D92" s="392"/>
      <c r="E92" s="396" t="s">
        <v>3462</v>
      </c>
      <c r="F92" s="398"/>
      <c r="G92" s="750" t="s">
        <v>3918</v>
      </c>
    </row>
    <row r="93" spans="1:7" s="42" customFormat="1" ht="12" customHeight="1">
      <c r="A93" s="104"/>
      <c r="B93" s="396"/>
      <c r="C93" s="241"/>
      <c r="D93" s="396"/>
      <c r="E93" s="396" t="s">
        <v>723</v>
      </c>
      <c r="F93" s="402"/>
      <c r="G93" s="750" t="s">
        <v>3918</v>
      </c>
    </row>
    <row r="94" spans="1:7" s="42" customFormat="1" ht="12" customHeight="1">
      <c r="A94" s="104"/>
      <c r="B94" s="392"/>
      <c r="C94" s="241"/>
      <c r="D94" s="392"/>
      <c r="E94" s="396" t="s">
        <v>3880</v>
      </c>
      <c r="F94" s="398"/>
      <c r="G94" s="750"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750" t="s">
        <v>3918</v>
      </c>
    </row>
    <row r="97" spans="1:7" s="42" customFormat="1" ht="12" customHeight="1">
      <c r="A97" s="104"/>
      <c r="B97" s="241"/>
      <c r="C97" s="241"/>
      <c r="D97" s="392"/>
      <c r="E97" s="392" t="s">
        <v>3329</v>
      </c>
      <c r="F97" s="392"/>
      <c r="G97" s="750" t="s">
        <v>2252</v>
      </c>
    </row>
    <row r="98" spans="1:7" s="42" customFormat="1" ht="12" customHeight="1">
      <c r="A98" s="104"/>
      <c r="B98" s="392"/>
      <c r="C98" s="241"/>
      <c r="D98" s="392"/>
      <c r="E98" s="392" t="s">
        <v>3269</v>
      </c>
      <c r="F98" s="392"/>
      <c r="G98" s="750" t="s">
        <v>2252</v>
      </c>
    </row>
    <row r="99" spans="1:7" s="42" customFormat="1" ht="12" customHeight="1">
      <c r="A99" s="104"/>
      <c r="B99" s="391"/>
      <c r="C99" s="241"/>
      <c r="D99" s="392"/>
      <c r="E99" s="396" t="s">
        <v>3270</v>
      </c>
      <c r="F99" s="402"/>
      <c r="G99" s="750" t="s">
        <v>2252</v>
      </c>
    </row>
    <row r="100" spans="1:7" s="42" customFormat="1" ht="6" customHeight="1">
      <c r="A100" s="100"/>
      <c r="B100" s="394"/>
      <c r="C100" s="241"/>
      <c r="D100" s="394"/>
      <c r="E100" s="394"/>
      <c r="F100" s="395"/>
      <c r="G100" s="312"/>
    </row>
    <row r="101" spans="1:7" s="42" customFormat="1" ht="25.2" customHeight="1">
      <c r="A101" s="387">
        <v>14</v>
      </c>
      <c r="B101" s="414" t="s">
        <v>332</v>
      </c>
      <c r="C101" s="241"/>
      <c r="D101" s="396"/>
      <c r="E101" s="919" t="s">
        <v>71</v>
      </c>
      <c r="F101" s="919"/>
      <c r="G101" s="750" t="s">
        <v>3918</v>
      </c>
    </row>
    <row r="102" spans="1:7" s="42" customFormat="1" ht="12" customHeight="1">
      <c r="A102" s="104"/>
      <c r="B102" s="391"/>
      <c r="C102" s="241"/>
      <c r="D102" s="396"/>
      <c r="E102" s="919" t="s">
        <v>907</v>
      </c>
      <c r="F102" s="910"/>
      <c r="G102" s="750" t="s">
        <v>3918</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3504</v>
      </c>
      <c r="F104" s="402"/>
      <c r="G104" s="750" t="s">
        <v>2252</v>
      </c>
    </row>
    <row r="105" spans="1:7" s="42" customFormat="1" ht="12" customHeight="1">
      <c r="A105" s="104"/>
      <c r="B105" s="396"/>
      <c r="C105" s="241"/>
      <c r="D105" s="396"/>
      <c r="E105" s="397" t="s">
        <v>3765</v>
      </c>
      <c r="F105" s="392"/>
      <c r="G105" s="750" t="s">
        <v>2252</v>
      </c>
    </row>
    <row r="106" spans="1:7" s="42" customFormat="1" ht="12" customHeight="1">
      <c r="A106" s="104"/>
      <c r="B106" s="392"/>
      <c r="C106" s="241"/>
      <c r="D106" s="752"/>
      <c r="E106" s="392" t="s">
        <v>3505</v>
      </c>
      <c r="F106" s="392"/>
      <c r="G106" s="750" t="s">
        <v>3918</v>
      </c>
    </row>
    <row r="107" spans="1:7" s="42" customFormat="1" ht="12" customHeight="1">
      <c r="A107" s="104"/>
      <c r="B107" s="391"/>
      <c r="C107" s="241"/>
      <c r="D107" s="392"/>
      <c r="E107" s="392" t="s">
        <v>1650</v>
      </c>
      <c r="F107" s="392"/>
      <c r="G107" s="750" t="s">
        <v>3918</v>
      </c>
    </row>
    <row r="108" spans="1:7" s="42" customFormat="1" ht="12" customHeight="1">
      <c r="A108" s="104"/>
      <c r="B108" s="392"/>
      <c r="C108" s="241"/>
      <c r="D108" s="392"/>
      <c r="E108" s="396" t="s">
        <v>1651</v>
      </c>
      <c r="F108" s="402"/>
      <c r="G108" s="750" t="s">
        <v>3918</v>
      </c>
    </row>
    <row r="109" spans="1:7" s="42" customFormat="1" ht="12" customHeight="1">
      <c r="A109" s="104"/>
      <c r="B109" s="396"/>
      <c r="C109" s="241"/>
      <c r="D109" s="396"/>
      <c r="E109" s="396" t="s">
        <v>730</v>
      </c>
      <c r="F109" s="402"/>
      <c r="G109" s="750" t="s">
        <v>2252</v>
      </c>
    </row>
    <row r="110" spans="1:7" s="42" customFormat="1" ht="12" customHeight="1">
      <c r="A110" s="104"/>
      <c r="B110" s="396"/>
      <c r="C110" s="241"/>
      <c r="D110" s="396"/>
      <c r="E110" s="396" t="s">
        <v>3463</v>
      </c>
      <c r="F110" s="402"/>
      <c r="G110" s="750" t="s">
        <v>2252</v>
      </c>
    </row>
    <row r="111" spans="1:7" s="42" customFormat="1" ht="6" customHeight="1">
      <c r="A111" s="100"/>
      <c r="B111" s="394"/>
      <c r="C111" s="394"/>
      <c r="D111" s="394"/>
      <c r="E111" s="394"/>
      <c r="F111" s="395"/>
      <c r="G111" s="312"/>
    </row>
    <row r="112" spans="1:7" ht="12" customHeight="1">
      <c r="A112" s="387">
        <v>16</v>
      </c>
      <c r="B112" s="940" t="s">
        <v>192</v>
      </c>
      <c r="C112" s="941"/>
      <c r="D112" s="941"/>
      <c r="E112" s="396" t="s">
        <v>1908</v>
      </c>
      <c r="F112" s="396"/>
      <c r="G112" s="750" t="s">
        <v>3918</v>
      </c>
    </row>
    <row r="113" spans="1:7" s="42" customFormat="1" ht="12" customHeight="1">
      <c r="A113" s="104"/>
      <c r="B113" s="940"/>
      <c r="C113" s="941"/>
      <c r="D113" s="941"/>
      <c r="E113" s="396" t="s">
        <v>1909</v>
      </c>
      <c r="F113" s="396"/>
      <c r="G113" s="750" t="s">
        <v>3918</v>
      </c>
    </row>
    <row r="114" spans="1:7" s="42" customFormat="1" ht="12" customHeight="1">
      <c r="A114" s="104"/>
      <c r="B114" s="940"/>
      <c r="C114" s="941"/>
      <c r="D114" s="941"/>
      <c r="E114" s="396" t="s">
        <v>1912</v>
      </c>
      <c r="F114" s="396"/>
      <c r="G114" s="750"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3545</v>
      </c>
      <c r="F116" s="398"/>
      <c r="G116" s="750" t="s">
        <v>3918</v>
      </c>
    </row>
    <row r="117" spans="1:7" s="42" customFormat="1" ht="12" customHeight="1">
      <c r="A117" s="104"/>
      <c r="B117" s="602" t="s">
        <v>3079</v>
      </c>
      <c r="C117" s="241"/>
      <c r="D117" s="754"/>
      <c r="E117" s="403" t="s">
        <v>3546</v>
      </c>
      <c r="F117" s="398"/>
      <c r="G117" s="750" t="s">
        <v>3918</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750" t="s">
        <v>3918</v>
      </c>
    </row>
    <row r="120" spans="1:7" s="42" customFormat="1" ht="12" customHeight="1">
      <c r="A120" s="387"/>
      <c r="B120" s="602" t="s">
        <v>3394</v>
      </c>
      <c r="C120" s="406"/>
      <c r="D120" s="392"/>
      <c r="E120" s="393" t="s">
        <v>2526</v>
      </c>
      <c r="F120" s="392"/>
      <c r="G120" s="750" t="s">
        <v>3918</v>
      </c>
    </row>
    <row r="121" spans="1:7" s="42" customFormat="1" ht="12" customHeight="1">
      <c r="A121" s="104"/>
      <c r="B121" s="241"/>
      <c r="C121" s="392"/>
      <c r="D121" s="392"/>
      <c r="E121" s="392" t="s">
        <v>3303</v>
      </c>
      <c r="F121" s="392"/>
      <c r="G121" s="750" t="s">
        <v>3918</v>
      </c>
    </row>
    <row r="122" spans="1:7" s="42" customFormat="1" ht="12" customHeight="1">
      <c r="A122" s="104"/>
      <c r="B122" s="392"/>
      <c r="C122" s="392"/>
      <c r="D122" s="392"/>
      <c r="E122" s="392" t="s">
        <v>3881</v>
      </c>
      <c r="F122" s="392"/>
      <c r="G122" s="750" t="s">
        <v>3918</v>
      </c>
    </row>
    <row r="123" spans="1:7" s="42" customFormat="1" ht="6" customHeight="1">
      <c r="A123" s="100"/>
      <c r="B123" s="394"/>
      <c r="C123" s="394"/>
      <c r="D123" s="394"/>
      <c r="E123" s="394"/>
      <c r="F123" s="395"/>
      <c r="G123" s="311"/>
    </row>
    <row r="124" spans="1:7" s="42" customFormat="1" ht="12.6" customHeight="1">
      <c r="A124" s="387">
        <v>19</v>
      </c>
      <c r="B124" s="414" t="s">
        <v>2865</v>
      </c>
      <c r="C124" s="752"/>
      <c r="D124" s="752"/>
      <c r="E124" s="396" t="s">
        <v>3518</v>
      </c>
      <c r="F124" s="396"/>
      <c r="G124" s="750" t="s">
        <v>3918</v>
      </c>
    </row>
    <row r="125" spans="1:7" s="42" customFormat="1" ht="12" customHeight="1">
      <c r="A125" s="104"/>
      <c r="B125" s="396"/>
      <c r="C125" s="391"/>
      <c r="D125" s="396"/>
      <c r="E125" s="396" t="s">
        <v>889</v>
      </c>
      <c r="F125" s="396"/>
      <c r="G125" s="750" t="s">
        <v>3918</v>
      </c>
    </row>
    <row r="126" spans="1:7" s="42" customFormat="1" ht="12" customHeight="1">
      <c r="A126" s="104"/>
      <c r="B126" s="396"/>
      <c r="C126" s="391"/>
      <c r="D126" s="396"/>
      <c r="E126" s="396" t="s">
        <v>3519</v>
      </c>
      <c r="F126" s="396"/>
      <c r="G126" s="750" t="s">
        <v>3918</v>
      </c>
    </row>
    <row r="127" spans="1:7" s="42" customFormat="1" ht="12" customHeight="1">
      <c r="A127" s="104"/>
      <c r="B127" s="396"/>
      <c r="C127" s="415"/>
      <c r="D127" s="396"/>
      <c r="E127" s="396" t="s">
        <v>3520</v>
      </c>
      <c r="F127" s="396"/>
      <c r="G127" s="750" t="s">
        <v>2252</v>
      </c>
    </row>
    <row r="128" spans="1:7" s="42" customFormat="1" ht="12" customHeight="1">
      <c r="A128" s="104"/>
      <c r="B128" s="396"/>
      <c r="C128" s="396"/>
      <c r="D128" s="416"/>
      <c r="E128" s="396" t="s">
        <v>3521</v>
      </c>
      <c r="F128" s="396"/>
      <c r="G128" s="750" t="s">
        <v>2252</v>
      </c>
    </row>
    <row r="129" spans="1:7" s="42" customFormat="1" ht="12" customHeight="1">
      <c r="A129" s="104"/>
      <c r="B129" s="396"/>
      <c r="C129" s="396"/>
      <c r="D129" s="416"/>
      <c r="E129" s="396" t="s">
        <v>3522</v>
      </c>
      <c r="F129" s="396"/>
      <c r="G129" s="750" t="s">
        <v>3918</v>
      </c>
    </row>
    <row r="130" spans="1:7" s="755" customFormat="1" ht="12" customHeight="1">
      <c r="A130" s="104"/>
      <c r="B130" s="396"/>
      <c r="C130" s="396"/>
      <c r="D130" s="416"/>
      <c r="E130" s="396" t="s">
        <v>3542</v>
      </c>
      <c r="F130" s="396"/>
      <c r="G130" s="750" t="s">
        <v>2252</v>
      </c>
    </row>
    <row r="131" spans="1:7" s="42" customFormat="1" ht="24.6" customHeight="1">
      <c r="A131" s="107"/>
      <c r="B131" s="396"/>
      <c r="C131" s="396"/>
      <c r="D131" s="396"/>
      <c r="E131" s="919" t="s">
        <v>3543</v>
      </c>
      <c r="F131" s="910"/>
      <c r="G131" s="750" t="s">
        <v>3918</v>
      </c>
    </row>
    <row r="132" spans="1:7" s="42" customFormat="1" ht="12.6" customHeight="1">
      <c r="A132" s="387">
        <v>20</v>
      </c>
      <c r="B132" s="414" t="s">
        <v>822</v>
      </c>
      <c r="C132" s="752"/>
      <c r="D132" s="752"/>
      <c r="E132" s="396" t="s">
        <v>467</v>
      </c>
      <c r="F132" s="396"/>
      <c r="G132" s="750" t="s">
        <v>2252</v>
      </c>
    </row>
    <row r="133" spans="1:7" s="42" customFormat="1" ht="12" customHeight="1">
      <c r="A133" s="104"/>
      <c r="B133" s="396"/>
      <c r="C133" s="391"/>
      <c r="D133" s="396"/>
      <c r="E133" s="396" t="s">
        <v>3662</v>
      </c>
      <c r="F133" s="396"/>
      <c r="G133" s="750" t="s">
        <v>2252</v>
      </c>
    </row>
    <row r="134" spans="1:7" s="42" customFormat="1" ht="12" customHeight="1">
      <c r="A134" s="104"/>
      <c r="B134" s="396"/>
      <c r="C134" s="415"/>
      <c r="D134" s="396"/>
      <c r="E134" s="396" t="s">
        <v>721</v>
      </c>
      <c r="F134" s="396"/>
      <c r="G134" s="750" t="s">
        <v>2252</v>
      </c>
    </row>
    <row r="135" spans="1:7" s="42" customFormat="1" ht="12" customHeight="1">
      <c r="A135" s="104"/>
      <c r="B135" s="396"/>
      <c r="C135" s="396"/>
      <c r="D135" s="416"/>
      <c r="E135" s="396" t="s">
        <v>722</v>
      </c>
      <c r="F135" s="396"/>
      <c r="G135" s="750" t="s">
        <v>2252</v>
      </c>
    </row>
    <row r="136" spans="1:7" s="42" customFormat="1" ht="12" customHeight="1">
      <c r="A136" s="104"/>
      <c r="B136" s="396"/>
      <c r="C136" s="396"/>
      <c r="D136" s="416"/>
      <c r="E136" s="396" t="s">
        <v>988</v>
      </c>
      <c r="F136" s="396"/>
      <c r="G136" s="750" t="s">
        <v>2252</v>
      </c>
    </row>
    <row r="137" spans="1:7" s="755" customFormat="1" ht="12" customHeight="1">
      <c r="A137" s="104"/>
      <c r="B137" s="396"/>
      <c r="C137" s="396"/>
      <c r="D137" s="416"/>
      <c r="E137" s="396" t="s">
        <v>2291</v>
      </c>
      <c r="F137" s="396"/>
      <c r="G137" s="750" t="s">
        <v>2252</v>
      </c>
    </row>
    <row r="138" spans="1:7" s="42" customFormat="1" ht="12" customHeight="1">
      <c r="A138" s="104"/>
      <c r="B138" s="396"/>
      <c r="C138" s="396"/>
      <c r="D138" s="396"/>
      <c r="E138" s="709" t="s">
        <v>3572</v>
      </c>
      <c r="F138" s="402"/>
      <c r="G138" s="750" t="s">
        <v>2252</v>
      </c>
    </row>
    <row r="139" spans="1:7" s="42" customFormat="1" ht="6" customHeight="1">
      <c r="A139" s="100"/>
      <c r="B139" s="394"/>
      <c r="C139" s="394"/>
      <c r="D139" s="394"/>
      <c r="E139" s="394"/>
      <c r="F139" s="395"/>
      <c r="G139" s="312"/>
    </row>
    <row r="140" spans="1:7" ht="11.4" customHeight="1">
      <c r="A140" s="387">
        <v>21</v>
      </c>
      <c r="B140" s="414" t="s">
        <v>2528</v>
      </c>
      <c r="C140" s="752"/>
      <c r="D140" s="752"/>
      <c r="E140" s="396" t="s">
        <v>3200</v>
      </c>
      <c r="F140" s="396"/>
      <c r="G140" s="750" t="s">
        <v>2252</v>
      </c>
    </row>
    <row r="141" spans="1:7" s="42" customFormat="1" ht="11.4" customHeight="1">
      <c r="A141" s="104"/>
      <c r="B141" s="241"/>
      <c r="C141" s="241"/>
      <c r="D141" s="396"/>
      <c r="E141" s="396" t="s">
        <v>2836</v>
      </c>
      <c r="F141" s="396"/>
      <c r="G141" s="750" t="s">
        <v>3918</v>
      </c>
    </row>
    <row r="142" spans="1:7" s="42" customFormat="1" ht="11.4" customHeight="1">
      <c r="A142" s="104"/>
      <c r="B142" s="396"/>
      <c r="C142" s="396"/>
      <c r="D142" s="396"/>
      <c r="E142" s="396" t="s">
        <v>3076</v>
      </c>
      <c r="F142" s="396"/>
      <c r="G142" s="750" t="s">
        <v>2252</v>
      </c>
    </row>
    <row r="143" spans="1:7" s="42" customFormat="1" ht="11.4" customHeight="1">
      <c r="A143" s="104"/>
      <c r="B143" s="396"/>
      <c r="C143" s="396"/>
      <c r="D143" s="396"/>
      <c r="E143" s="396" t="s">
        <v>1913</v>
      </c>
      <c r="F143" s="396"/>
      <c r="G143" s="750" t="s">
        <v>2252</v>
      </c>
    </row>
    <row r="144" spans="1:7" s="42" customFormat="1" ht="11.4" customHeight="1">
      <c r="A144" s="104"/>
      <c r="B144" s="396"/>
      <c r="C144" s="396"/>
      <c r="D144" s="396"/>
      <c r="E144" s="396" t="s">
        <v>1911</v>
      </c>
      <c r="F144" s="396"/>
      <c r="G144" s="750" t="s">
        <v>2252</v>
      </c>
    </row>
    <row r="145" spans="1:7" s="42" customFormat="1" ht="5.4" customHeight="1">
      <c r="A145" s="100"/>
      <c r="B145" s="394"/>
      <c r="C145" s="394"/>
      <c r="D145" s="394"/>
      <c r="E145" s="394"/>
      <c r="F145" s="395"/>
      <c r="G145" s="312"/>
    </row>
    <row r="146" spans="1:7" s="42" customFormat="1" ht="12" customHeight="1">
      <c r="A146" s="387">
        <v>22</v>
      </c>
      <c r="B146" s="414" t="s">
        <v>519</v>
      </c>
      <c r="C146" s="752"/>
      <c r="D146" s="752"/>
      <c r="E146" s="396" t="s">
        <v>2195</v>
      </c>
      <c r="F146" s="392"/>
      <c r="G146" s="750" t="s">
        <v>3918</v>
      </c>
    </row>
    <row r="147" spans="1:7" s="42" customFormat="1" ht="12" customHeight="1">
      <c r="A147" s="104"/>
      <c r="B147" s="241"/>
      <c r="C147" s="241"/>
      <c r="D147" s="241"/>
      <c r="E147" s="396" t="s">
        <v>3308</v>
      </c>
      <c r="F147" s="392"/>
      <c r="G147" s="750" t="s">
        <v>3918</v>
      </c>
    </row>
    <row r="148" spans="1:7" s="42" customFormat="1" ht="12" customHeight="1">
      <c r="A148" s="104"/>
      <c r="B148" s="241"/>
      <c r="C148" s="241"/>
      <c r="D148" s="241"/>
      <c r="E148" s="396" t="s">
        <v>3341</v>
      </c>
      <c r="F148" s="392"/>
      <c r="G148" s="750" t="s">
        <v>3918</v>
      </c>
    </row>
    <row r="149" spans="1:7" s="42" customFormat="1" ht="12" customHeight="1">
      <c r="A149" s="104"/>
      <c r="B149" s="241"/>
      <c r="C149" s="396"/>
      <c r="D149" s="396"/>
      <c r="E149" s="396" t="s">
        <v>2196</v>
      </c>
      <c r="F149" s="392"/>
      <c r="G149" s="750" t="s">
        <v>3918</v>
      </c>
    </row>
    <row r="150" spans="1:7" s="42" customFormat="1" ht="12" customHeight="1">
      <c r="A150" s="104"/>
      <c r="B150" s="396"/>
      <c r="C150" s="396"/>
      <c r="D150" s="396"/>
      <c r="E150" s="396" t="s">
        <v>2197</v>
      </c>
      <c r="F150" s="392"/>
      <c r="G150" s="750" t="s">
        <v>2252</v>
      </c>
    </row>
    <row r="151" spans="1:7" s="42" customFormat="1" ht="12" customHeight="1">
      <c r="A151" s="104"/>
      <c r="B151" s="396"/>
      <c r="C151" s="396"/>
      <c r="D151" s="396"/>
      <c r="E151" s="396" t="s">
        <v>3336</v>
      </c>
      <c r="F151" s="392"/>
      <c r="G151" s="750" t="s">
        <v>3918</v>
      </c>
    </row>
    <row r="152" spans="1:7" s="42" customFormat="1" ht="12" customHeight="1">
      <c r="A152" s="104"/>
      <c r="B152" s="396"/>
      <c r="C152" s="396"/>
      <c r="D152" s="396"/>
      <c r="E152" s="396" t="s">
        <v>3337</v>
      </c>
      <c r="F152" s="392"/>
      <c r="G152" s="750" t="s">
        <v>3918</v>
      </c>
    </row>
    <row r="153" spans="1:7" s="42" customFormat="1" ht="12" customHeight="1">
      <c r="A153" s="104"/>
      <c r="B153" s="396"/>
      <c r="C153" s="396"/>
      <c r="D153" s="396"/>
      <c r="E153" s="396" t="s">
        <v>2194</v>
      </c>
      <c r="F153" s="392"/>
      <c r="G153" s="750" t="s">
        <v>3918</v>
      </c>
    </row>
    <row r="154" spans="1:7" s="42" customFormat="1" ht="12" customHeight="1">
      <c r="A154" s="104"/>
      <c r="B154" s="709"/>
      <c r="C154" s="415"/>
      <c r="D154" s="396"/>
      <c r="E154" s="397" t="s">
        <v>2857</v>
      </c>
      <c r="F154" s="392"/>
      <c r="G154" s="750" t="s">
        <v>3918</v>
      </c>
    </row>
    <row r="155" spans="1:7" s="42" customFormat="1" ht="5.4" customHeight="1">
      <c r="A155" s="100"/>
      <c r="B155" s="394"/>
      <c r="C155" s="394"/>
      <c r="D155" s="394"/>
      <c r="E155" s="394"/>
      <c r="F155" s="395"/>
      <c r="G155" s="312"/>
    </row>
    <row r="156" spans="1:7" s="42" customFormat="1" ht="12" customHeight="1">
      <c r="A156" s="387">
        <v>23</v>
      </c>
      <c r="B156" s="944" t="s">
        <v>1914</v>
      </c>
      <c r="C156" s="945"/>
      <c r="D156" s="945"/>
      <c r="E156" s="752" t="s">
        <v>1407</v>
      </c>
      <c r="F156" s="392"/>
      <c r="G156" s="750" t="s">
        <v>2252</v>
      </c>
    </row>
    <row r="157" spans="1:7" s="42" customFormat="1" ht="12" customHeight="1">
      <c r="A157" s="104"/>
      <c r="B157" s="946"/>
      <c r="C157" s="945"/>
      <c r="D157" s="945"/>
      <c r="E157" s="752" t="s">
        <v>1408</v>
      </c>
      <c r="F157" s="392"/>
      <c r="G157" s="750" t="s">
        <v>2252</v>
      </c>
    </row>
    <row r="158" spans="1:7" s="42" customFormat="1" ht="12" customHeight="1">
      <c r="A158" s="104"/>
      <c r="B158" s="946"/>
      <c r="C158" s="945"/>
      <c r="D158" s="945"/>
      <c r="E158" s="752" t="s">
        <v>1409</v>
      </c>
      <c r="F158" s="392"/>
      <c r="G158" s="750" t="s">
        <v>2252</v>
      </c>
    </row>
    <row r="159" spans="1:7" s="42" customFormat="1" ht="24.6" customHeight="1">
      <c r="A159" s="104"/>
      <c r="B159" s="756"/>
      <c r="C159" s="141"/>
      <c r="D159" s="141"/>
      <c r="E159" s="942" t="s">
        <v>3506</v>
      </c>
      <c r="F159" s="943"/>
      <c r="G159" s="750" t="s">
        <v>2252</v>
      </c>
    </row>
    <row r="160" spans="1:7" s="42" customFormat="1" ht="5.4" customHeight="1">
      <c r="A160" s="100"/>
      <c r="B160" s="394"/>
      <c r="C160" s="394"/>
      <c r="D160" s="394"/>
      <c r="E160" s="394"/>
      <c r="F160" s="395"/>
      <c r="G160" s="312"/>
    </row>
    <row r="161" spans="1:7" s="42" customFormat="1" ht="12.6" customHeight="1">
      <c r="A161" s="104"/>
      <c r="B161" s="409" t="s">
        <v>3499</v>
      </c>
      <c r="C161" s="757"/>
      <c r="D161" s="758"/>
      <c r="E161" s="752"/>
      <c r="F161" s="392"/>
      <c r="G161" s="106"/>
    </row>
    <row r="162" spans="1:7" s="42" customFormat="1" ht="12" customHeight="1">
      <c r="A162" s="387">
        <v>24</v>
      </c>
      <c r="B162" s="753" t="s">
        <v>1024</v>
      </c>
      <c r="C162" s="241"/>
      <c r="D162" s="752"/>
      <c r="E162" s="398" t="s">
        <v>3500</v>
      </c>
      <c r="F162" s="392"/>
      <c r="G162" s="750" t="s">
        <v>3918</v>
      </c>
    </row>
    <row r="163" spans="1:7" s="42" customFormat="1" ht="12" customHeight="1">
      <c r="A163" s="104"/>
      <c r="B163" s="241"/>
      <c r="C163" s="709"/>
      <c r="D163" s="752"/>
      <c r="E163" s="909" t="s">
        <v>865</v>
      </c>
      <c r="F163" s="910"/>
      <c r="G163" s="750" t="s">
        <v>3918</v>
      </c>
    </row>
    <row r="164" spans="1:7" s="42" customFormat="1" ht="12" customHeight="1">
      <c r="A164" s="104"/>
      <c r="B164" s="401"/>
      <c r="C164" s="752"/>
      <c r="D164" s="752"/>
      <c r="E164" s="398" t="s">
        <v>37</v>
      </c>
      <c r="F164" s="392"/>
      <c r="G164" s="750" t="s">
        <v>3918</v>
      </c>
    </row>
    <row r="165" spans="1:7" s="42" customFormat="1" ht="24.6" customHeight="1">
      <c r="A165" s="104"/>
      <c r="B165" s="401"/>
      <c r="C165" s="752"/>
      <c r="D165" s="752"/>
      <c r="E165" s="909" t="s">
        <v>687</v>
      </c>
      <c r="F165" s="910"/>
      <c r="G165" s="750" t="s">
        <v>2252</v>
      </c>
    </row>
    <row r="166" spans="1:7" s="42" customFormat="1" ht="12" customHeight="1">
      <c r="A166" s="104"/>
      <c r="B166" s="401"/>
      <c r="C166" s="752"/>
      <c r="D166" s="752"/>
      <c r="E166" s="909" t="s">
        <v>688</v>
      </c>
      <c r="F166" s="910"/>
      <c r="G166" s="750" t="s">
        <v>2252</v>
      </c>
    </row>
    <row r="167" spans="1:7" s="42" customFormat="1" ht="5.4" customHeight="1">
      <c r="A167" s="104"/>
      <c r="B167" s="401"/>
      <c r="C167" s="752"/>
      <c r="D167" s="752"/>
      <c r="E167" s="710"/>
      <c r="F167" s="710"/>
      <c r="G167" s="759"/>
    </row>
    <row r="168" spans="1:7" s="42" customFormat="1" ht="13.95" customHeight="1">
      <c r="A168" s="387">
        <v>25</v>
      </c>
      <c r="B168" s="760" t="s">
        <v>627</v>
      </c>
      <c r="C168" s="241"/>
      <c r="D168" s="753"/>
      <c r="E168" s="909" t="s">
        <v>2653</v>
      </c>
      <c r="F168" s="910"/>
      <c r="G168" s="750" t="s">
        <v>2252</v>
      </c>
    </row>
    <row r="169" spans="1:7" s="42" customFormat="1" ht="13.95" customHeight="1">
      <c r="A169" s="389"/>
      <c r="B169" s="760"/>
      <c r="C169" s="241"/>
      <c r="D169" s="753"/>
      <c r="E169" s="909" t="s">
        <v>628</v>
      </c>
      <c r="F169" s="910"/>
      <c r="G169" s="750" t="s">
        <v>2252</v>
      </c>
    </row>
    <row r="170" spans="1:7" s="42" customFormat="1" ht="12" customHeight="1">
      <c r="A170" s="387">
        <v>26</v>
      </c>
      <c r="B170" s="753" t="s">
        <v>689</v>
      </c>
      <c r="C170" s="241"/>
      <c r="D170" s="753"/>
      <c r="E170" s="710" t="s">
        <v>690</v>
      </c>
      <c r="F170" s="708"/>
      <c r="G170" s="750" t="s">
        <v>2252</v>
      </c>
    </row>
    <row r="171" spans="1:7" s="42" customFormat="1" ht="12" customHeight="1">
      <c r="A171" s="104"/>
      <c r="B171" s="753"/>
      <c r="C171" s="241"/>
      <c r="E171" s="710" t="s">
        <v>629</v>
      </c>
      <c r="F171" s="708"/>
      <c r="G171" s="750" t="s">
        <v>2252</v>
      </c>
    </row>
    <row r="172" spans="1:7" s="42" customFormat="1" ht="12" customHeight="1">
      <c r="A172" s="104"/>
      <c r="B172" s="408"/>
      <c r="C172" s="241"/>
      <c r="D172" s="753"/>
      <c r="E172" s="909" t="s">
        <v>630</v>
      </c>
      <c r="F172" s="910"/>
      <c r="G172" s="750" t="s">
        <v>2252</v>
      </c>
    </row>
    <row r="173" spans="1:7" s="42" customFormat="1" ht="12" customHeight="1">
      <c r="A173" s="104"/>
      <c r="B173" s="408"/>
      <c r="C173" s="241"/>
      <c r="D173" s="753"/>
      <c r="E173" s="909" t="s">
        <v>631</v>
      </c>
      <c r="F173" s="910"/>
      <c r="G173" s="750" t="s">
        <v>2252</v>
      </c>
    </row>
    <row r="174" spans="1:7" s="42" customFormat="1" ht="6" customHeight="1">
      <c r="A174" s="104"/>
      <c r="B174" s="401"/>
      <c r="C174" s="752"/>
      <c r="D174" s="752"/>
      <c r="E174" s="710"/>
      <c r="F174" s="710"/>
      <c r="G174" s="759"/>
    </row>
    <row r="175" spans="1:7" s="42" customFormat="1" ht="12" customHeight="1">
      <c r="A175" s="387">
        <v>27</v>
      </c>
      <c r="B175" s="761" t="s">
        <v>276</v>
      </c>
      <c r="C175" s="241"/>
      <c r="D175" s="753"/>
      <c r="E175" s="710" t="s">
        <v>691</v>
      </c>
      <c r="F175" s="708"/>
      <c r="G175" s="750" t="s">
        <v>2252</v>
      </c>
    </row>
    <row r="176" spans="1:7" s="42" customFormat="1" ht="12" customHeight="1">
      <c r="A176" s="104"/>
      <c r="B176" s="753"/>
      <c r="C176" s="241"/>
      <c r="D176" s="753"/>
      <c r="E176" s="909" t="s">
        <v>177</v>
      </c>
      <c r="F176" s="910"/>
      <c r="G176" s="750" t="s">
        <v>2252</v>
      </c>
    </row>
    <row r="177" spans="1:7" s="42" customFormat="1" ht="12" customHeight="1">
      <c r="A177" s="104"/>
      <c r="B177" s="753"/>
      <c r="C177" s="241"/>
      <c r="D177" s="753"/>
      <c r="E177" s="398" t="s">
        <v>692</v>
      </c>
      <c r="F177" s="396"/>
      <c r="G177" s="750" t="s">
        <v>2252</v>
      </c>
    </row>
    <row r="178" spans="1:7" s="42" customFormat="1" ht="12" customHeight="1">
      <c r="A178" s="104"/>
      <c r="B178" s="753"/>
      <c r="C178" s="241"/>
      <c r="D178" s="753"/>
      <c r="E178" s="398" t="s">
        <v>693</v>
      </c>
      <c r="F178" s="396"/>
      <c r="G178" s="750" t="s">
        <v>2252</v>
      </c>
    </row>
    <row r="179" spans="1:7" s="42" customFormat="1" ht="12" customHeight="1">
      <c r="A179" s="387"/>
      <c r="B179" s="753"/>
      <c r="C179" s="241"/>
      <c r="D179" s="753"/>
      <c r="E179" s="762" t="s">
        <v>694</v>
      </c>
      <c r="F179" s="396"/>
      <c r="G179" s="750" t="s">
        <v>2252</v>
      </c>
    </row>
    <row r="180" spans="1:7" s="42" customFormat="1" ht="6" customHeight="1">
      <c r="A180" s="104"/>
      <c r="B180" s="753"/>
      <c r="C180" s="241"/>
      <c r="D180" s="753"/>
      <c r="E180" s="398"/>
      <c r="F180" s="398"/>
      <c r="G180" s="147"/>
    </row>
    <row r="181" spans="1:7" s="42" customFormat="1" ht="12" customHeight="1">
      <c r="A181" s="387">
        <v>28</v>
      </c>
      <c r="B181" s="761" t="s">
        <v>3471</v>
      </c>
      <c r="C181" s="753"/>
      <c r="D181" s="753"/>
      <c r="E181" s="909" t="s">
        <v>178</v>
      </c>
      <c r="F181" s="918"/>
      <c r="G181" s="750" t="s">
        <v>2252</v>
      </c>
    </row>
    <row r="182" spans="1:7" s="42" customFormat="1" ht="12" customHeight="1">
      <c r="A182" s="387"/>
      <c r="B182" s="761"/>
      <c r="C182" s="753"/>
      <c r="D182" s="753"/>
      <c r="E182" s="909" t="s">
        <v>179</v>
      </c>
      <c r="F182" s="918"/>
      <c r="G182" s="750" t="s">
        <v>2252</v>
      </c>
    </row>
    <row r="183" spans="1:7" s="42" customFormat="1" ht="25.2" customHeight="1">
      <c r="A183" s="104"/>
      <c r="B183" s="753"/>
      <c r="C183" s="241"/>
      <c r="D183" s="753"/>
      <c r="E183" s="909" t="s">
        <v>1618</v>
      </c>
      <c r="F183" s="910"/>
      <c r="G183" s="750" t="s">
        <v>2252</v>
      </c>
    </row>
    <row r="184" spans="1:7" s="42" customFormat="1" ht="6" customHeight="1">
      <c r="A184" s="104"/>
      <c r="B184" s="753"/>
      <c r="C184" s="241"/>
      <c r="D184" s="753"/>
      <c r="E184" s="398"/>
      <c r="F184" s="396"/>
      <c r="G184" s="106"/>
    </row>
    <row r="185" spans="1:7" s="42" customFormat="1" ht="12" customHeight="1">
      <c r="A185" s="387">
        <v>29</v>
      </c>
      <c r="B185" s="761" t="s">
        <v>405</v>
      </c>
      <c r="C185" s="241"/>
      <c r="D185" s="753"/>
      <c r="E185" s="909" t="s">
        <v>632</v>
      </c>
      <c r="F185" s="910"/>
      <c r="G185" s="750" t="s">
        <v>3918</v>
      </c>
    </row>
    <row r="186" spans="1:7" s="42" customFormat="1" ht="12" customHeight="1">
      <c r="A186" s="387"/>
      <c r="B186" s="761"/>
      <c r="C186" s="241"/>
      <c r="D186" s="753"/>
      <c r="E186" s="393" t="s">
        <v>1635</v>
      </c>
      <c r="F186" s="708"/>
      <c r="G186" s="750" t="s">
        <v>3918</v>
      </c>
    </row>
    <row r="187" spans="1:7" s="42" customFormat="1" ht="6" customHeight="1">
      <c r="A187" s="100"/>
      <c r="B187" s="394"/>
      <c r="C187" s="753"/>
      <c r="D187" s="753"/>
      <c r="E187" s="752"/>
      <c r="F187" s="396"/>
      <c r="G187" s="396"/>
    </row>
    <row r="188" spans="1:7" s="42" customFormat="1" ht="12" customHeight="1">
      <c r="A188" s="387">
        <v>30</v>
      </c>
      <c r="B188" s="753" t="s">
        <v>3883</v>
      </c>
      <c r="C188" s="241"/>
      <c r="D188" s="753"/>
      <c r="E188" s="752" t="s">
        <v>1636</v>
      </c>
      <c r="F188" s="396"/>
      <c r="G188" s="750" t="s">
        <v>3918</v>
      </c>
    </row>
    <row r="189" spans="1:7" s="42" customFormat="1" ht="6" customHeight="1">
      <c r="A189" s="100"/>
      <c r="B189" s="394"/>
      <c r="C189" s="753"/>
      <c r="D189" s="753"/>
      <c r="E189" s="752"/>
      <c r="F189" s="396"/>
      <c r="G189" s="396"/>
    </row>
    <row r="190" spans="1:7" s="42" customFormat="1" ht="12" customHeight="1">
      <c r="A190" s="387">
        <v>31</v>
      </c>
      <c r="B190" s="763" t="s">
        <v>169</v>
      </c>
      <c r="C190" s="241"/>
      <c r="D190" s="395"/>
      <c r="E190" s="394"/>
      <c r="F190" s="395"/>
      <c r="G190" s="395"/>
    </row>
    <row r="191" spans="1:7" s="42" customFormat="1" ht="12" customHeight="1">
      <c r="A191" s="387"/>
      <c r="C191" s="764" t="s">
        <v>655</v>
      </c>
      <c r="D191" s="753"/>
      <c r="E191" s="916" t="s">
        <v>3547</v>
      </c>
      <c r="F191" s="917"/>
      <c r="G191" s="750" t="s">
        <v>2252</v>
      </c>
    </row>
    <row r="192" spans="1:7" s="42" customFormat="1" ht="12" customHeight="1">
      <c r="A192" s="387"/>
      <c r="C192" s="764"/>
      <c r="D192" s="753"/>
      <c r="E192" s="765" t="s">
        <v>1637</v>
      </c>
      <c r="F192" s="766"/>
      <c r="G192" s="750" t="s">
        <v>2252</v>
      </c>
    </row>
    <row r="193" spans="1:7" s="42" customFormat="1" ht="12" customHeight="1">
      <c r="A193" s="104"/>
      <c r="C193" s="241"/>
      <c r="D193" s="753"/>
      <c r="E193" s="914" t="s">
        <v>3548</v>
      </c>
      <c r="F193" s="915"/>
      <c r="G193" s="750" t="s">
        <v>2252</v>
      </c>
    </row>
    <row r="194" spans="1:7" s="42" customFormat="1" ht="12" customHeight="1">
      <c r="A194" s="104"/>
      <c r="C194" s="241"/>
      <c r="D194" s="753"/>
      <c r="E194" s="752" t="s">
        <v>3549</v>
      </c>
      <c r="F194" s="396"/>
      <c r="G194" s="750" t="s">
        <v>2252</v>
      </c>
    </row>
    <row r="195" spans="1:7" s="42" customFormat="1" ht="5.4" customHeight="1">
      <c r="A195" s="100"/>
      <c r="B195" s="394"/>
      <c r="C195" s="395"/>
      <c r="D195" s="395"/>
      <c r="E195" s="394"/>
      <c r="F195" s="395"/>
      <c r="G195" s="312"/>
    </row>
    <row r="196" spans="1:7" s="42" customFormat="1" ht="12" customHeight="1">
      <c r="A196" s="104"/>
      <c r="C196" s="241" t="s">
        <v>539</v>
      </c>
      <c r="D196" s="753"/>
      <c r="E196" s="752" t="s">
        <v>3795</v>
      </c>
      <c r="F196" s="396"/>
      <c r="G196" s="750" t="s">
        <v>2252</v>
      </c>
    </row>
    <row r="197" spans="1:7" s="42" customFormat="1" ht="12" customHeight="1">
      <c r="A197" s="104"/>
      <c r="B197" s="241"/>
      <c r="C197" s="241"/>
      <c r="D197" s="753"/>
      <c r="E197" s="752" t="s">
        <v>3381</v>
      </c>
      <c r="F197" s="396"/>
      <c r="G197" s="750" t="s">
        <v>2252</v>
      </c>
    </row>
    <row r="198" spans="1:7" s="42" customFormat="1" ht="12" customHeight="1">
      <c r="A198" s="104"/>
      <c r="B198" s="752"/>
      <c r="C198" s="408"/>
      <c r="D198" s="753"/>
      <c r="E198" s="752" t="s">
        <v>167</v>
      </c>
      <c r="F198" s="396"/>
      <c r="G198" s="750" t="s">
        <v>2252</v>
      </c>
    </row>
    <row r="199" spans="1:7" s="42" customFormat="1" ht="12" customHeight="1">
      <c r="A199" s="104"/>
      <c r="B199" s="752"/>
      <c r="C199" s="753"/>
      <c r="D199" s="753"/>
      <c r="E199" s="752" t="s">
        <v>3882</v>
      </c>
      <c r="F199" s="396"/>
      <c r="G199" s="750" t="s">
        <v>2252</v>
      </c>
    </row>
    <row r="200" spans="1:7" s="42" customFormat="1" ht="12" customHeight="1">
      <c r="A200" s="104"/>
      <c r="B200" s="709"/>
      <c r="C200" s="753"/>
      <c r="D200" s="753"/>
      <c r="E200" s="752" t="s">
        <v>168</v>
      </c>
      <c r="F200" s="396"/>
      <c r="G200" s="750" t="s">
        <v>2252</v>
      </c>
    </row>
    <row r="201" spans="1:7" s="42" customFormat="1" ht="5.4" customHeight="1">
      <c r="A201" s="100"/>
      <c r="B201" s="394"/>
      <c r="C201" s="395"/>
      <c r="D201" s="395"/>
      <c r="E201" s="394"/>
      <c r="F201" s="395"/>
      <c r="G201" s="312"/>
    </row>
    <row r="202" spans="1:7" s="42" customFormat="1" ht="12" customHeight="1">
      <c r="A202" s="104"/>
      <c r="B202" s="753"/>
      <c r="C202" s="241" t="s">
        <v>540</v>
      </c>
      <c r="D202" s="753"/>
      <c r="E202" s="752" t="s">
        <v>2731</v>
      </c>
      <c r="F202" s="396"/>
      <c r="G202" s="750" t="s">
        <v>2252</v>
      </c>
    </row>
    <row r="203" spans="1:7" s="42" customFormat="1" ht="12" customHeight="1">
      <c r="A203" s="104"/>
      <c r="B203" s="709"/>
      <c r="C203" s="753"/>
      <c r="D203" s="753"/>
      <c r="E203" s="752" t="s">
        <v>2732</v>
      </c>
      <c r="F203" s="396"/>
      <c r="G203" s="750" t="s">
        <v>2252</v>
      </c>
    </row>
    <row r="204" spans="1:7" s="42" customFormat="1" ht="5.4" customHeight="1">
      <c r="A204" s="100"/>
      <c r="B204" s="394"/>
      <c r="C204" s="395"/>
      <c r="D204" s="395"/>
      <c r="E204" s="394"/>
      <c r="F204" s="395"/>
      <c r="G204" s="312"/>
    </row>
    <row r="205" spans="1:7" s="42" customFormat="1" ht="12" customHeight="1">
      <c r="A205" s="104"/>
      <c r="C205" s="241" t="s">
        <v>170</v>
      </c>
      <c r="D205" s="753"/>
      <c r="E205" s="752" t="s">
        <v>171</v>
      </c>
      <c r="F205" s="396"/>
      <c r="G205" s="750" t="s">
        <v>2252</v>
      </c>
    </row>
    <row r="206" spans="1:7" s="42" customFormat="1" ht="12" customHeight="1">
      <c r="A206" s="104"/>
      <c r="B206" s="241"/>
      <c r="C206" s="241"/>
      <c r="D206" s="753"/>
      <c r="E206" s="752" t="s">
        <v>172</v>
      </c>
      <c r="F206" s="396"/>
      <c r="G206" s="750" t="s">
        <v>2252</v>
      </c>
    </row>
    <row r="207" spans="1:7" s="42" customFormat="1" ht="12" customHeight="1">
      <c r="A207" s="104"/>
      <c r="B207" s="752"/>
      <c r="C207" s="408"/>
      <c r="D207" s="753"/>
      <c r="E207" s="752" t="s">
        <v>3507</v>
      </c>
      <c r="F207" s="396"/>
      <c r="G207" s="750" t="s">
        <v>2252</v>
      </c>
    </row>
    <row r="208" spans="1:7" s="42" customFormat="1" ht="12" customHeight="1">
      <c r="A208" s="104"/>
      <c r="B208" s="752"/>
      <c r="C208" s="753"/>
      <c r="D208" s="753"/>
      <c r="E208" s="752" t="s">
        <v>173</v>
      </c>
      <c r="F208" s="396"/>
      <c r="G208" s="750" t="s">
        <v>2252</v>
      </c>
    </row>
    <row r="209" spans="1:7" s="42" customFormat="1" ht="12" customHeight="1">
      <c r="A209" s="387"/>
      <c r="B209" s="709"/>
      <c r="C209" s="753"/>
      <c r="D209" s="753"/>
      <c r="E209" s="752" t="s">
        <v>174</v>
      </c>
      <c r="F209" s="396"/>
      <c r="G209" s="750" t="s">
        <v>2252</v>
      </c>
    </row>
    <row r="210" spans="1:7" s="42" customFormat="1" ht="12" customHeight="1">
      <c r="A210" s="107"/>
      <c r="B210" s="709"/>
      <c r="C210" s="753"/>
      <c r="D210" s="753"/>
      <c r="E210" s="752" t="s">
        <v>175</v>
      </c>
      <c r="F210" s="396"/>
      <c r="G210" s="750" t="s">
        <v>2252</v>
      </c>
    </row>
    <row r="211" spans="1:7" s="42" customFormat="1" ht="12" customHeight="1">
      <c r="A211" s="387">
        <v>32</v>
      </c>
      <c r="B211" s="753" t="s">
        <v>3360</v>
      </c>
      <c r="C211" s="241"/>
      <c r="D211" s="753"/>
      <c r="E211" s="752" t="s">
        <v>176</v>
      </c>
      <c r="F211" s="396"/>
      <c r="G211" s="750" t="s">
        <v>2252</v>
      </c>
    </row>
    <row r="212" spans="1:7" s="42" customFormat="1" ht="6" customHeight="1">
      <c r="A212" s="104"/>
      <c r="B212" s="709"/>
      <c r="C212" s="753"/>
      <c r="D212" s="753"/>
      <c r="E212" s="752"/>
      <c r="F212" s="396"/>
      <c r="G212" s="313"/>
    </row>
    <row r="213" spans="1:7" s="42" customFormat="1" ht="12" customHeight="1">
      <c r="A213" s="387">
        <v>33</v>
      </c>
      <c r="B213" s="753" t="s">
        <v>2840</v>
      </c>
      <c r="C213" s="241"/>
      <c r="D213" s="753"/>
      <c r="E213" s="909" t="s">
        <v>180</v>
      </c>
      <c r="F213" s="910"/>
      <c r="G213" s="750" t="s">
        <v>2252</v>
      </c>
    </row>
    <row r="214" spans="1:7" s="42" customFormat="1" ht="12" customHeight="1">
      <c r="A214" s="387"/>
      <c r="B214" s="241"/>
      <c r="C214" s="241"/>
      <c r="D214" s="753"/>
      <c r="E214" s="909" t="s">
        <v>181</v>
      </c>
      <c r="F214" s="910"/>
      <c r="G214" s="750" t="s">
        <v>2252</v>
      </c>
    </row>
    <row r="215" spans="1:7" s="42" customFormat="1" ht="12" customHeight="1">
      <c r="A215" s="387"/>
      <c r="B215" s="241"/>
      <c r="C215" s="241"/>
      <c r="D215" s="753"/>
      <c r="E215" s="393" t="s">
        <v>3508</v>
      </c>
      <c r="F215" s="708"/>
      <c r="G215" s="750" t="s">
        <v>2252</v>
      </c>
    </row>
    <row r="216" spans="1:7" s="42" customFormat="1" ht="6" customHeight="1">
      <c r="A216" s="104"/>
      <c r="B216" s="709"/>
      <c r="C216" s="753"/>
      <c r="D216" s="753"/>
      <c r="E216" s="752"/>
      <c r="F216" s="396"/>
      <c r="G216" s="654"/>
    </row>
    <row r="217" spans="1:7" s="42" customFormat="1" ht="12.6" customHeight="1">
      <c r="A217" s="387">
        <v>34</v>
      </c>
      <c r="B217" s="753" t="s">
        <v>2668</v>
      </c>
      <c r="C217" s="753"/>
      <c r="D217" s="753"/>
      <c r="E217" s="752"/>
      <c r="F217" s="396"/>
      <c r="G217" s="601"/>
    </row>
    <row r="218" spans="1:7" s="42" customFormat="1" ht="12" customHeight="1">
      <c r="A218" s="104"/>
      <c r="B218" s="241"/>
      <c r="C218" s="752" t="s">
        <v>2670</v>
      </c>
      <c r="D218" s="753"/>
      <c r="E218" s="752" t="s">
        <v>182</v>
      </c>
      <c r="F218" s="396"/>
      <c r="G218" s="750" t="s">
        <v>3918</v>
      </c>
    </row>
    <row r="219" spans="1:7" s="42" customFormat="1" ht="12" customHeight="1">
      <c r="A219" s="104"/>
      <c r="B219" s="752"/>
      <c r="C219" s="752" t="s">
        <v>2671</v>
      </c>
      <c r="D219" s="753"/>
      <c r="E219" s="396" t="s">
        <v>148</v>
      </c>
      <c r="F219" s="396"/>
      <c r="G219" s="750" t="s">
        <v>2252</v>
      </c>
    </row>
    <row r="220" spans="1:7" s="42" customFormat="1" ht="12" customHeight="1">
      <c r="A220" s="104"/>
      <c r="B220" s="752"/>
      <c r="C220" s="709" t="s">
        <v>2669</v>
      </c>
      <c r="D220" s="753"/>
      <c r="E220" s="752" t="s">
        <v>183</v>
      </c>
      <c r="F220" s="396"/>
      <c r="G220" s="750" t="s">
        <v>2252</v>
      </c>
    </row>
    <row r="221" spans="1:7" s="42" customFormat="1" ht="6" customHeight="1">
      <c r="A221" s="104"/>
      <c r="B221" s="709"/>
      <c r="C221" s="753"/>
      <c r="D221" s="753"/>
      <c r="E221" s="752"/>
      <c r="F221" s="396"/>
      <c r="G221" s="313"/>
    </row>
    <row r="222" spans="1:7" s="42" customFormat="1" ht="12" customHeight="1">
      <c r="A222" s="387">
        <v>35</v>
      </c>
      <c r="B222" s="753" t="s">
        <v>1905</v>
      </c>
      <c r="C222" s="241"/>
      <c r="D222" s="753"/>
      <c r="E222" s="752" t="s">
        <v>1906</v>
      </c>
      <c r="F222" s="396"/>
      <c r="G222" s="750" t="s">
        <v>3918</v>
      </c>
    </row>
    <row r="223" spans="1:7" s="42" customFormat="1" ht="6" customHeight="1">
      <c r="A223" s="104"/>
      <c r="B223" s="709"/>
      <c r="C223" s="753"/>
      <c r="D223" s="753"/>
      <c r="E223" s="752"/>
      <c r="F223" s="396"/>
      <c r="G223" s="313"/>
    </row>
    <row r="224" spans="1:7" s="42" customFormat="1" ht="12" customHeight="1">
      <c r="A224" s="387">
        <v>36</v>
      </c>
      <c r="B224" s="753" t="s">
        <v>275</v>
      </c>
      <c r="C224" s="241"/>
      <c r="D224" s="753"/>
      <c r="E224" s="752" t="s">
        <v>1907</v>
      </c>
      <c r="F224" s="396"/>
      <c r="G224" s="750" t="s">
        <v>2252</v>
      </c>
    </row>
    <row r="225" spans="1:7" s="42" customFormat="1" ht="6" customHeight="1">
      <c r="A225" s="104"/>
      <c r="B225" s="709"/>
      <c r="C225" s="753"/>
      <c r="D225" s="753"/>
      <c r="E225" s="752"/>
      <c r="F225" s="396"/>
      <c r="G225" s="106"/>
    </row>
    <row r="226" spans="1:7" s="42" customFormat="1" ht="12" customHeight="1">
      <c r="A226" s="387">
        <v>37</v>
      </c>
      <c r="B226" s="753" t="s">
        <v>2734</v>
      </c>
      <c r="C226" s="241"/>
      <c r="D226" s="753"/>
      <c r="E226" s="752" t="s">
        <v>526</v>
      </c>
      <c r="F226" s="396"/>
      <c r="G226" s="750" t="s">
        <v>2252</v>
      </c>
    </row>
    <row r="227" spans="1:7" s="42" customFormat="1" ht="12" customHeight="1">
      <c r="A227" s="104"/>
      <c r="B227" s="752"/>
      <c r="C227" s="753"/>
      <c r="D227" s="753"/>
      <c r="E227" s="396" t="s">
        <v>527</v>
      </c>
      <c r="F227" s="396"/>
      <c r="G227" s="750" t="s">
        <v>2252</v>
      </c>
    </row>
    <row r="228" spans="1:7" s="42" customFormat="1" ht="12" customHeight="1">
      <c r="A228" s="104"/>
      <c r="B228" s="752"/>
      <c r="C228" s="408"/>
      <c r="D228" s="753"/>
      <c r="E228" s="752" t="s">
        <v>528</v>
      </c>
      <c r="F228" s="396"/>
      <c r="G228" s="750" t="s">
        <v>2252</v>
      </c>
    </row>
    <row r="229" spans="1:7" s="42" customFormat="1" ht="12" customHeight="1">
      <c r="A229" s="104"/>
      <c r="B229" s="709"/>
      <c r="C229" s="753"/>
      <c r="D229" s="753"/>
      <c r="E229" s="767" t="s">
        <v>529</v>
      </c>
      <c r="F229" s="396"/>
      <c r="G229" s="750" t="s">
        <v>2252</v>
      </c>
    </row>
    <row r="230" spans="1:7" s="42" customFormat="1" ht="12" customHeight="1">
      <c r="A230" s="104"/>
      <c r="B230" s="752"/>
      <c r="E230" s="752" t="s">
        <v>35</v>
      </c>
      <c r="F230" s="396"/>
      <c r="G230" s="750" t="s">
        <v>2252</v>
      </c>
    </row>
    <row r="231" spans="1:7" s="42" customFormat="1" ht="12" customHeight="1">
      <c r="A231" s="104"/>
      <c r="B231" s="709"/>
      <c r="E231" s="767" t="s">
        <v>36</v>
      </c>
      <c r="F231" s="396"/>
      <c r="G231" s="750" t="s">
        <v>2252</v>
      </c>
    </row>
    <row r="232" spans="1:7" s="42" customFormat="1" ht="6" customHeight="1">
      <c r="A232" s="104"/>
      <c r="B232" s="709"/>
      <c r="C232" s="753"/>
      <c r="D232" s="753"/>
      <c r="E232" s="752"/>
      <c r="F232" s="396"/>
      <c r="G232" s="106"/>
    </row>
    <row r="233" spans="1:7" s="42" customFormat="1" ht="12" customHeight="1">
      <c r="A233" s="387">
        <v>38</v>
      </c>
      <c r="B233" s="753" t="s">
        <v>3550</v>
      </c>
      <c r="C233" s="241"/>
      <c r="D233" s="753"/>
      <c r="E233" s="752" t="s">
        <v>3509</v>
      </c>
      <c r="F233" s="396"/>
      <c r="G233" s="750" t="s">
        <v>3918</v>
      </c>
    </row>
    <row r="234" spans="1:7" s="42" customFormat="1" ht="12" customHeight="1">
      <c r="A234" s="104"/>
      <c r="B234" s="752"/>
      <c r="C234" s="753"/>
      <c r="D234" s="753"/>
      <c r="E234" s="396" t="s">
        <v>3510</v>
      </c>
      <c r="F234" s="396"/>
      <c r="G234" s="750" t="s">
        <v>3918</v>
      </c>
    </row>
    <row r="235" spans="1:7" s="42" customFormat="1" ht="6" customHeight="1">
      <c r="A235" s="104"/>
      <c r="B235" s="417"/>
      <c r="C235" s="768"/>
      <c r="D235" s="768"/>
      <c r="E235" s="769"/>
      <c r="F235" s="106"/>
      <c r="G235" s="106"/>
    </row>
    <row r="236" spans="1:7" s="42" customFormat="1" ht="13.2" customHeight="1">
      <c r="A236" s="387">
        <v>39</v>
      </c>
      <c r="B236" s="753" t="s">
        <v>2362</v>
      </c>
      <c r="E236" s="770" t="s">
        <v>3920</v>
      </c>
      <c r="F236" s="770"/>
      <c r="G236" s="750" t="s">
        <v>3918</v>
      </c>
    </row>
    <row r="237" spans="1:7" s="42" customFormat="1" ht="12.6" customHeight="1">
      <c r="A237" s="104"/>
      <c r="C237" s="911" t="s">
        <v>1025</v>
      </c>
      <c r="D237" s="912"/>
      <c r="E237" s="771" t="s">
        <v>3963</v>
      </c>
      <c r="F237" s="771"/>
      <c r="G237" s="772" t="s">
        <v>3918</v>
      </c>
    </row>
    <row r="238" spans="1:7" s="42" customFormat="1" ht="12.6" customHeight="1">
      <c r="A238" s="104"/>
      <c r="C238" s="911"/>
      <c r="D238" s="912"/>
      <c r="E238" s="771" t="s">
        <v>3964</v>
      </c>
      <c r="F238" s="771"/>
      <c r="G238" s="772" t="s">
        <v>3918</v>
      </c>
    </row>
    <row r="239" spans="1:7" s="42" customFormat="1" ht="12.6" customHeight="1">
      <c r="A239" s="104"/>
      <c r="C239" s="913"/>
      <c r="D239" s="912"/>
      <c r="E239" s="773" t="s">
        <v>4053</v>
      </c>
      <c r="F239" s="773"/>
      <c r="G239" s="772" t="s">
        <v>3918</v>
      </c>
    </row>
    <row r="240" spans="1:7" s="42" customFormat="1" ht="26.4" customHeight="1">
      <c r="A240" s="906" t="s">
        <v>3125</v>
      </c>
      <c r="B240" s="907"/>
      <c r="C240" s="907"/>
      <c r="D240" s="907"/>
      <c r="E240" s="907"/>
      <c r="F240" s="907"/>
      <c r="G240" s="908"/>
    </row>
  </sheetData>
  <sheetProtection password="DC20" sheet="1" objects="1" scenarios="1" formatCells="0" formatColumns="0" formatRows="0"/>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100" workbookViewId="0">
      <selection activeCell="H21" sqref="H21"/>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328" t="str">
        <f>CONCATENATE("PART SIX - PROJECTED REVENUES &amp; EXPENSES","  -  ",'Part I-Project Information'!$O$4," ",'Part I-Project Information'!$F$22,", ",'Part I-Project Information'!F24,", ",'Part I-Project Information'!J25," County")</f>
        <v>PART SIX - PROJECTED REVENUES &amp; EXPENSES  -  2011-003 Pecan Point Apartments, Cochran, Bleckley County</v>
      </c>
      <c r="B1" s="1329"/>
      <c r="C1" s="1329"/>
      <c r="D1" s="1329"/>
      <c r="E1" s="1329"/>
      <c r="F1" s="1329"/>
      <c r="G1" s="1329"/>
      <c r="H1" s="1329"/>
      <c r="I1" s="1329"/>
      <c r="J1" s="1329"/>
      <c r="K1" s="1329"/>
      <c r="L1" s="1329"/>
      <c r="M1" s="1329"/>
      <c r="N1" s="1329"/>
      <c r="O1" s="1329"/>
      <c r="P1" s="1330"/>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3570</v>
      </c>
      <c r="C3" s="2"/>
      <c r="D3" s="167" t="s">
        <v>328</v>
      </c>
      <c r="E3" s="2"/>
      <c r="F3" s="2"/>
      <c r="G3" s="167"/>
      <c r="H3" s="167"/>
      <c r="I3" s="167"/>
      <c r="J3" s="167"/>
      <c r="K3" s="167"/>
      <c r="L3" s="167"/>
      <c r="N3" s="707" t="s">
        <v>885</v>
      </c>
      <c r="O3" s="1503" t="str">
        <f>'Part I-Project Information'!$J$26</f>
        <v>Bleckley Co.</v>
      </c>
      <c r="P3" s="150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3685</v>
      </c>
      <c r="FA3" s="655" t="s">
        <v>3686</v>
      </c>
      <c r="FB3" s="655" t="s">
        <v>3687</v>
      </c>
      <c r="FC3" s="655" t="s">
        <v>3688</v>
      </c>
      <c r="FD3" s="656"/>
      <c r="FE3" s="656"/>
      <c r="FF3" s="656"/>
      <c r="FG3" s="656"/>
      <c r="FH3" s="656"/>
      <c r="FI3" s="655" t="s">
        <v>715</v>
      </c>
      <c r="FJ3" s="655" t="s">
        <v>3685</v>
      </c>
      <c r="FK3" s="655" t="s">
        <v>3686</v>
      </c>
      <c r="FL3" s="655" t="s">
        <v>3687</v>
      </c>
      <c r="FM3" s="655" t="s">
        <v>3688</v>
      </c>
      <c r="FN3" s="655" t="s">
        <v>715</v>
      </c>
      <c r="FO3" s="655" t="s">
        <v>3685</v>
      </c>
      <c r="FP3" s="655" t="s">
        <v>3686</v>
      </c>
      <c r="FQ3" s="655" t="s">
        <v>3687</v>
      </c>
      <c r="FR3" s="655" t="s">
        <v>3688</v>
      </c>
      <c r="FS3" s="655" t="s">
        <v>715</v>
      </c>
      <c r="FT3" s="655" t="s">
        <v>3685</v>
      </c>
      <c r="FU3" s="655" t="s">
        <v>3686</v>
      </c>
      <c r="FV3" s="655" t="s">
        <v>3687</v>
      </c>
      <c r="FW3" s="655" t="s">
        <v>3688</v>
      </c>
      <c r="FX3" s="655" t="s">
        <v>715</v>
      </c>
      <c r="FY3" s="655" t="s">
        <v>3685</v>
      </c>
      <c r="FZ3" s="655" t="s">
        <v>3686</v>
      </c>
      <c r="GA3" s="655" t="s">
        <v>3687</v>
      </c>
      <c r="GB3" s="655" t="s">
        <v>3688</v>
      </c>
      <c r="GC3" s="655" t="s">
        <v>715</v>
      </c>
      <c r="GD3" s="655" t="s">
        <v>3685</v>
      </c>
      <c r="GE3" s="655" t="s">
        <v>3686</v>
      </c>
      <c r="GF3" s="655" t="s">
        <v>3687</v>
      </c>
      <c r="GG3" s="655" t="s">
        <v>3688</v>
      </c>
      <c r="GH3" s="655" t="s">
        <v>715</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467" t="s">
        <v>1512</v>
      </c>
      <c r="U4" s="1467" t="s">
        <v>1246</v>
      </c>
      <c r="V4" s="1467" t="s">
        <v>1247</v>
      </c>
      <c r="W4" s="1467" t="s">
        <v>1248</v>
      </c>
      <c r="X4" s="1467" t="s">
        <v>1249</v>
      </c>
      <c r="Y4" s="1467" t="s">
        <v>1513</v>
      </c>
      <c r="Z4" s="1467" t="s">
        <v>3451</v>
      </c>
      <c r="AA4" s="1467" t="s">
        <v>3452</v>
      </c>
      <c r="AB4" s="1467" t="s">
        <v>3453</v>
      </c>
      <c r="AC4" s="1467" t="s">
        <v>3454</v>
      </c>
      <c r="AD4" s="1467" t="s">
        <v>1514</v>
      </c>
      <c r="AE4" s="1467" t="s">
        <v>3455</v>
      </c>
      <c r="AF4" s="1467" t="s">
        <v>3456</v>
      </c>
      <c r="AG4" s="1467" t="s">
        <v>3457</v>
      </c>
      <c r="AH4" s="1467" t="s">
        <v>3458</v>
      </c>
      <c r="AI4" s="1467" t="s">
        <v>152</v>
      </c>
      <c r="AJ4" s="1467" t="s">
        <v>3459</v>
      </c>
      <c r="AK4" s="1467" t="s">
        <v>3460</v>
      </c>
      <c r="AL4" s="1467" t="s">
        <v>3461</v>
      </c>
      <c r="AM4" s="1467" t="s">
        <v>1789</v>
      </c>
      <c r="AN4" s="1467" t="s">
        <v>852</v>
      </c>
      <c r="AO4" s="1467" t="s">
        <v>853</v>
      </c>
      <c r="AP4" s="1467" t="s">
        <v>890</v>
      </c>
      <c r="AQ4" s="1467" t="s">
        <v>891</v>
      </c>
      <c r="AR4" s="1467" t="s">
        <v>892</v>
      </c>
      <c r="AS4" s="1467" t="s">
        <v>893</v>
      </c>
      <c r="AT4" s="1467" t="s">
        <v>894</v>
      </c>
      <c r="AU4" s="1467" t="s">
        <v>895</v>
      </c>
      <c r="AV4" s="1467" t="s">
        <v>896</v>
      </c>
      <c r="AW4" s="1467" t="s">
        <v>897</v>
      </c>
      <c r="AX4" s="1467" t="s">
        <v>898</v>
      </c>
      <c r="AY4" s="1467" t="s">
        <v>899</v>
      </c>
      <c r="AZ4" s="1467" t="s">
        <v>1525</v>
      </c>
      <c r="BA4" s="1467" t="s">
        <v>1526</v>
      </c>
      <c r="BB4" s="1467" t="s">
        <v>1527</v>
      </c>
      <c r="BC4" s="1467" t="s">
        <v>735</v>
      </c>
      <c r="BD4" s="1467" t="s">
        <v>736</v>
      </c>
      <c r="BE4" s="1467" t="s">
        <v>737</v>
      </c>
      <c r="BF4" s="1467" t="s">
        <v>738</v>
      </c>
      <c r="BG4" s="1467" t="s">
        <v>739</v>
      </c>
      <c r="BH4" s="1467" t="s">
        <v>1471</v>
      </c>
      <c r="BI4" s="1467" t="s">
        <v>1472</v>
      </c>
      <c r="BJ4" s="1467" t="s">
        <v>1473</v>
      </c>
      <c r="BK4" s="1467" t="s">
        <v>1474</v>
      </c>
      <c r="BL4" s="1467" t="s">
        <v>1475</v>
      </c>
      <c r="BM4" s="1467" t="s">
        <v>1476</v>
      </c>
      <c r="BN4" s="1467" t="s">
        <v>1477</v>
      </c>
      <c r="BO4" s="1467" t="s">
        <v>1478</v>
      </c>
      <c r="BP4" s="1467" t="s">
        <v>1479</v>
      </c>
      <c r="BQ4" s="1467" t="s">
        <v>1480</v>
      </c>
      <c r="BR4" s="1467" t="s">
        <v>3675</v>
      </c>
      <c r="BS4" s="1467" t="s">
        <v>3676</v>
      </c>
      <c r="BT4" s="1467" t="s">
        <v>3677</v>
      </c>
      <c r="BU4" s="1467" t="s">
        <v>3678</v>
      </c>
      <c r="BV4" s="1467" t="s">
        <v>3679</v>
      </c>
      <c r="BW4" s="1467" t="s">
        <v>132</v>
      </c>
      <c r="BX4" s="1467" t="s">
        <v>1792</v>
      </c>
      <c r="BY4" s="1467" t="s">
        <v>1793</v>
      </c>
      <c r="BZ4" s="1467" t="s">
        <v>1873</v>
      </c>
      <c r="CA4" s="1467" t="s">
        <v>1874</v>
      </c>
      <c r="CB4" s="1466" t="s">
        <v>155</v>
      </c>
      <c r="CC4" s="1466" t="s">
        <v>1875</v>
      </c>
      <c r="CD4" s="1466" t="s">
        <v>1876</v>
      </c>
      <c r="CE4" s="1466" t="s">
        <v>1877</v>
      </c>
      <c r="CF4" s="1466" t="s">
        <v>1878</v>
      </c>
      <c r="CG4" s="1466" t="s">
        <v>154</v>
      </c>
      <c r="CH4" s="1466" t="s">
        <v>1504</v>
      </c>
      <c r="CI4" s="1466" t="s">
        <v>1505</v>
      </c>
      <c r="CJ4" s="1466" t="s">
        <v>1506</v>
      </c>
      <c r="CK4" s="1466" t="s">
        <v>1507</v>
      </c>
      <c r="CL4" s="1466" t="s">
        <v>153</v>
      </c>
      <c r="CM4" s="1466" t="s">
        <v>1508</v>
      </c>
      <c r="CN4" s="1466" t="s">
        <v>1509</v>
      </c>
      <c r="CO4" s="1466" t="s">
        <v>1510</v>
      </c>
      <c r="CP4" s="1466" t="s">
        <v>1511</v>
      </c>
      <c r="CQ4" s="1466" t="s">
        <v>1390</v>
      </c>
      <c r="CR4" s="1466" t="s">
        <v>1391</v>
      </c>
      <c r="CS4" s="1466" t="s">
        <v>1392</v>
      </c>
      <c r="CT4" s="1466" t="s">
        <v>1393</v>
      </c>
      <c r="CU4" s="1466" t="s">
        <v>1394</v>
      </c>
      <c r="CV4" s="1466" t="s">
        <v>1555</v>
      </c>
      <c r="CW4" s="1466" t="s">
        <v>1556</v>
      </c>
      <c r="CX4" s="1466" t="s">
        <v>1557</v>
      </c>
      <c r="CY4" s="1466" t="s">
        <v>1558</v>
      </c>
      <c r="CZ4" s="1466" t="s">
        <v>3674</v>
      </c>
      <c r="DA4" s="1466" t="s">
        <v>2154</v>
      </c>
      <c r="DB4" s="1466" t="s">
        <v>2155</v>
      </c>
      <c r="DC4" s="1466" t="s">
        <v>2156</v>
      </c>
      <c r="DD4" s="1466" t="s">
        <v>2157</v>
      </c>
      <c r="DE4" s="1466" t="s">
        <v>2158</v>
      </c>
      <c r="DF4" s="1466" t="s">
        <v>645</v>
      </c>
      <c r="DG4" s="1466" t="s">
        <v>646</v>
      </c>
      <c r="DH4" s="1466" t="s">
        <v>647</v>
      </c>
      <c r="DI4" s="1466" t="s">
        <v>648</v>
      </c>
      <c r="DJ4" s="1466" t="s">
        <v>649</v>
      </c>
      <c r="DK4" s="1466" t="s">
        <v>19</v>
      </c>
      <c r="DL4" s="1466" t="s">
        <v>20</v>
      </c>
      <c r="DM4" s="1466" t="s">
        <v>21</v>
      </c>
      <c r="DN4" s="1466" t="s">
        <v>22</v>
      </c>
      <c r="DO4" s="1466" t="s">
        <v>23</v>
      </c>
      <c r="DP4" s="1466" t="s">
        <v>285</v>
      </c>
      <c r="DQ4" s="1466" t="s">
        <v>286</v>
      </c>
      <c r="DR4" s="1466" t="s">
        <v>287</v>
      </c>
      <c r="DS4" s="1466" t="s">
        <v>2847</v>
      </c>
      <c r="DT4" s="1466" t="s">
        <v>2848</v>
      </c>
      <c r="DU4" s="1466" t="s">
        <v>2849</v>
      </c>
      <c r="DV4" s="1466" t="s">
        <v>908</v>
      </c>
      <c r="DW4" s="1466" t="s">
        <v>909</v>
      </c>
      <c r="DX4" s="1466" t="s">
        <v>910</v>
      </c>
      <c r="DY4" s="1466" t="s">
        <v>911</v>
      </c>
      <c r="DZ4" s="1466" t="s">
        <v>24</v>
      </c>
      <c r="EA4" s="1466" t="s">
        <v>25</v>
      </c>
      <c r="EB4" s="1466" t="s">
        <v>26</v>
      </c>
      <c r="EC4" s="1466" t="s">
        <v>27</v>
      </c>
      <c r="ED4" s="1466" t="s">
        <v>28</v>
      </c>
      <c r="EE4" s="1466" t="s">
        <v>732</v>
      </c>
      <c r="EF4" s="1466" t="s">
        <v>641</v>
      </c>
      <c r="EG4" s="1466" t="s">
        <v>642</v>
      </c>
      <c r="EH4" s="1466" t="s">
        <v>643</v>
      </c>
      <c r="EI4" s="1466" t="s">
        <v>644</v>
      </c>
      <c r="EJ4" s="1466" t="s">
        <v>3320</v>
      </c>
      <c r="EK4" s="1466" t="s">
        <v>3321</v>
      </c>
      <c r="EL4" s="1466" t="s">
        <v>3322</v>
      </c>
      <c r="EM4" s="1466" t="s">
        <v>2212</v>
      </c>
      <c r="EN4" s="1466" t="s">
        <v>2213</v>
      </c>
      <c r="EO4" s="1466" t="s">
        <v>29</v>
      </c>
      <c r="EP4" s="1466" t="s">
        <v>30</v>
      </c>
      <c r="EQ4" s="1466" t="s">
        <v>31</v>
      </c>
      <c r="ER4" s="1466" t="s">
        <v>32</v>
      </c>
      <c r="ES4" s="1466"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466" t="s">
        <v>2527</v>
      </c>
      <c r="GN4" s="1466" t="s">
        <v>3810</v>
      </c>
      <c r="GO4" s="1466" t="s">
        <v>3811</v>
      </c>
      <c r="GP4" s="1466" t="s">
        <v>490</v>
      </c>
      <c r="GQ4" s="1466" t="s">
        <v>491</v>
      </c>
      <c r="GR4" s="1466" t="s">
        <v>492</v>
      </c>
      <c r="GS4" s="1466" t="s">
        <v>493</v>
      </c>
      <c r="GT4" s="1466" t="s">
        <v>494</v>
      </c>
      <c r="GU4" s="1466" t="s">
        <v>495</v>
      </c>
      <c r="GV4" s="1466" t="s">
        <v>496</v>
      </c>
      <c r="GW4" s="1466" t="s">
        <v>260</v>
      </c>
      <c r="GX4" s="1466" t="s">
        <v>261</v>
      </c>
      <c r="GY4" s="1466" t="s">
        <v>262</v>
      </c>
      <c r="GZ4" s="1466" t="s">
        <v>263</v>
      </c>
      <c r="HA4" s="1466" t="s">
        <v>264</v>
      </c>
      <c r="HB4" s="1466" t="s">
        <v>265</v>
      </c>
      <c r="HC4" s="1466" t="s">
        <v>266</v>
      </c>
      <c r="HD4" s="1466" t="s">
        <v>267</v>
      </c>
      <c r="HE4" s="1466" t="s">
        <v>268</v>
      </c>
      <c r="HF4" s="1466" t="s">
        <v>269</v>
      </c>
      <c r="HG4" s="1466" t="s">
        <v>270</v>
      </c>
      <c r="HH4" s="1466" t="s">
        <v>271</v>
      </c>
      <c r="HI4" s="1466" t="s">
        <v>272</v>
      </c>
      <c r="HJ4" s="1466" t="s">
        <v>273</v>
      </c>
      <c r="HK4" s="1466" t="s">
        <v>274</v>
      </c>
    </row>
    <row r="5" spans="1:219" s="122" customFormat="1" ht="13.2" customHeight="1">
      <c r="B5" s="5" t="s">
        <v>2897</v>
      </c>
      <c r="D5" s="2"/>
      <c r="E5" s="5"/>
      <c r="F5" s="2"/>
      <c r="G5" s="828"/>
      <c r="O5" s="2"/>
      <c r="P5" s="657" t="s">
        <v>1657</v>
      </c>
      <c r="T5" s="1467"/>
      <c r="U5" s="1467"/>
      <c r="V5" s="1467"/>
      <c r="W5" s="1467"/>
      <c r="X5" s="1467"/>
      <c r="Y5" s="1467"/>
      <c r="Z5" s="1467"/>
      <c r="AA5" s="1467"/>
      <c r="AB5" s="1467"/>
      <c r="AC5" s="1467"/>
      <c r="AD5" s="1467"/>
      <c r="AE5" s="1467"/>
      <c r="AF5" s="1467"/>
      <c r="AG5" s="1467"/>
      <c r="AH5" s="1467"/>
      <c r="AI5" s="1467"/>
      <c r="AJ5" s="1467"/>
      <c r="AK5" s="1467"/>
      <c r="AL5" s="1467"/>
      <c r="AM5" s="1467"/>
      <c r="AN5" s="1467"/>
      <c r="AO5" s="1467"/>
      <c r="AP5" s="1467"/>
      <c r="AQ5" s="1467"/>
      <c r="AR5" s="1467"/>
      <c r="AS5" s="1467"/>
      <c r="AT5" s="1467"/>
      <c r="AU5" s="1467"/>
      <c r="AV5" s="1467"/>
      <c r="AW5" s="1467"/>
      <c r="AX5" s="1467"/>
      <c r="AY5" s="1467"/>
      <c r="AZ5" s="1467"/>
      <c r="BA5" s="1467"/>
      <c r="BB5" s="1467"/>
      <c r="BC5" s="1467"/>
      <c r="BD5" s="1467"/>
      <c r="BE5" s="1467"/>
      <c r="BF5" s="1467"/>
      <c r="BG5" s="1467"/>
      <c r="BH5" s="1467"/>
      <c r="BI5" s="1467"/>
      <c r="BJ5" s="1467"/>
      <c r="BK5" s="1467"/>
      <c r="BL5" s="1467"/>
      <c r="BM5" s="1467"/>
      <c r="BN5" s="1467"/>
      <c r="BO5" s="1467"/>
      <c r="BP5" s="1467"/>
      <c r="BQ5" s="1467"/>
      <c r="BR5" s="1467"/>
      <c r="BS5" s="1467"/>
      <c r="BT5" s="1467"/>
      <c r="BU5" s="1467"/>
      <c r="BV5" s="1467"/>
      <c r="BW5" s="1467"/>
      <c r="BX5" s="1467"/>
      <c r="BY5" s="1467"/>
      <c r="BZ5" s="1467"/>
      <c r="CA5" s="1467"/>
      <c r="CB5" s="1466"/>
      <c r="CC5" s="1466"/>
      <c r="CD5" s="1466"/>
      <c r="CE5" s="1466"/>
      <c r="CF5" s="1466"/>
      <c r="CG5" s="1466"/>
      <c r="CH5" s="1466"/>
      <c r="CI5" s="1466"/>
      <c r="CJ5" s="1466"/>
      <c r="CK5" s="1466"/>
      <c r="CL5" s="1466"/>
      <c r="CM5" s="1466"/>
      <c r="CN5" s="1466"/>
      <c r="CO5" s="1466"/>
      <c r="CP5" s="1466"/>
      <c r="CQ5" s="1466"/>
      <c r="CR5" s="1466"/>
      <c r="CS5" s="1466"/>
      <c r="CT5" s="1466"/>
      <c r="CU5" s="1466"/>
      <c r="CV5" s="1466"/>
      <c r="CW5" s="1466"/>
      <c r="CX5" s="1466"/>
      <c r="CY5" s="1466"/>
      <c r="CZ5" s="1466"/>
      <c r="DA5" s="1466"/>
      <c r="DB5" s="1466"/>
      <c r="DC5" s="1466"/>
      <c r="DD5" s="1466"/>
      <c r="DE5" s="1466"/>
      <c r="DF5" s="1466"/>
      <c r="DG5" s="1466"/>
      <c r="DH5" s="1466"/>
      <c r="DI5" s="1466"/>
      <c r="DJ5" s="1466"/>
      <c r="DK5" s="1466"/>
      <c r="DL5" s="1466"/>
      <c r="DM5" s="1466"/>
      <c r="DN5" s="1466"/>
      <c r="DO5" s="1466"/>
      <c r="DP5" s="1466"/>
      <c r="DQ5" s="1466"/>
      <c r="DR5" s="1466"/>
      <c r="DS5" s="1466"/>
      <c r="DT5" s="1466"/>
      <c r="DU5" s="1466"/>
      <c r="DV5" s="1466"/>
      <c r="DW5" s="1466"/>
      <c r="DX5" s="1466"/>
      <c r="DY5" s="1466"/>
      <c r="DZ5" s="1466"/>
      <c r="EA5" s="1466"/>
      <c r="EB5" s="1466"/>
      <c r="EC5" s="1466"/>
      <c r="ED5" s="1466"/>
      <c r="EE5" s="1466"/>
      <c r="EF5" s="1466"/>
      <c r="EG5" s="1466"/>
      <c r="EH5" s="1466"/>
      <c r="EI5" s="1466"/>
      <c r="EJ5" s="1466"/>
      <c r="EK5" s="1466"/>
      <c r="EL5" s="1466"/>
      <c r="EM5" s="1466"/>
      <c r="EN5" s="1466"/>
      <c r="EO5" s="1466"/>
      <c r="EP5" s="1466"/>
      <c r="EQ5" s="1466"/>
      <c r="ER5" s="1466"/>
      <c r="ES5" s="1466"/>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466"/>
      <c r="GN5" s="1466"/>
      <c r="GO5" s="1466"/>
      <c r="GP5" s="1466"/>
      <c r="GQ5" s="1466"/>
      <c r="GR5" s="1466"/>
      <c r="GS5" s="1466"/>
      <c r="GT5" s="1466"/>
      <c r="GU5" s="1466"/>
      <c r="GV5" s="1466"/>
      <c r="GW5" s="1466"/>
      <c r="GX5" s="1466"/>
      <c r="GY5" s="1466"/>
      <c r="GZ5" s="1466"/>
      <c r="HA5" s="1466"/>
      <c r="HB5" s="1466"/>
      <c r="HC5" s="1466"/>
      <c r="HD5" s="1466"/>
      <c r="HE5" s="1466"/>
      <c r="HF5" s="1466"/>
      <c r="HG5" s="1466"/>
      <c r="HH5" s="1466"/>
      <c r="HI5" s="1466"/>
      <c r="HJ5" s="1466"/>
      <c r="HK5" s="1466"/>
    </row>
    <row r="6" spans="1:219" s="122" customFormat="1" ht="13.2" customHeight="1">
      <c r="B6" s="35" t="s">
        <v>2838</v>
      </c>
      <c r="D6" s="2"/>
      <c r="E6" s="5"/>
      <c r="G6" s="829" t="s">
        <v>3919</v>
      </c>
      <c r="J6" s="738" t="s">
        <v>3644</v>
      </c>
      <c r="O6" s="2"/>
      <c r="P6" s="658">
        <f>VLOOKUP('Part I-Project Information'!$J$26,'DCA Underwriting Assumptions'!$C$77:$D$187,2)</f>
        <v>51100</v>
      </c>
      <c r="T6" s="1467"/>
      <c r="U6" s="1467"/>
      <c r="V6" s="1467"/>
      <c r="W6" s="1467"/>
      <c r="X6" s="1467"/>
      <c r="Y6" s="1467"/>
      <c r="Z6" s="1467"/>
      <c r="AA6" s="1467"/>
      <c r="AB6" s="1467"/>
      <c r="AC6" s="1467"/>
      <c r="AD6" s="1467"/>
      <c r="AE6" s="1467"/>
      <c r="AF6" s="1467"/>
      <c r="AG6" s="1467"/>
      <c r="AH6" s="1467"/>
      <c r="AI6" s="1467"/>
      <c r="AJ6" s="1467"/>
      <c r="AK6" s="1467"/>
      <c r="AL6" s="1467"/>
      <c r="AM6" s="1467"/>
      <c r="AN6" s="1467"/>
      <c r="AO6" s="1467"/>
      <c r="AP6" s="1467"/>
      <c r="AQ6" s="1467"/>
      <c r="AR6" s="1467"/>
      <c r="AS6" s="1467"/>
      <c r="AT6" s="1467"/>
      <c r="AU6" s="1467"/>
      <c r="AV6" s="1467"/>
      <c r="AW6" s="1467"/>
      <c r="AX6" s="1467"/>
      <c r="AY6" s="1467"/>
      <c r="AZ6" s="1467"/>
      <c r="BA6" s="1467"/>
      <c r="BB6" s="1467"/>
      <c r="BC6" s="1467"/>
      <c r="BD6" s="1467"/>
      <c r="BE6" s="1467"/>
      <c r="BF6" s="1467"/>
      <c r="BG6" s="1467"/>
      <c r="BH6" s="1467"/>
      <c r="BI6" s="1467"/>
      <c r="BJ6" s="1467"/>
      <c r="BK6" s="1467"/>
      <c r="BL6" s="1467"/>
      <c r="BM6" s="1467"/>
      <c r="BN6" s="1467"/>
      <c r="BO6" s="1467"/>
      <c r="BP6" s="1467"/>
      <c r="BQ6" s="1467"/>
      <c r="BR6" s="1467"/>
      <c r="BS6" s="1467"/>
      <c r="BT6" s="1467"/>
      <c r="BU6" s="1467"/>
      <c r="BV6" s="1467"/>
      <c r="BW6" s="1467"/>
      <c r="BX6" s="1467"/>
      <c r="BY6" s="1467"/>
      <c r="BZ6" s="1467"/>
      <c r="CA6" s="1467"/>
      <c r="CB6" s="1466"/>
      <c r="CC6" s="1466"/>
      <c r="CD6" s="1466"/>
      <c r="CE6" s="1466"/>
      <c r="CF6" s="1466"/>
      <c r="CG6" s="1466"/>
      <c r="CH6" s="1466"/>
      <c r="CI6" s="1466"/>
      <c r="CJ6" s="1466"/>
      <c r="CK6" s="1466"/>
      <c r="CL6" s="1466"/>
      <c r="CM6" s="1466"/>
      <c r="CN6" s="1466"/>
      <c r="CO6" s="1466"/>
      <c r="CP6" s="1466"/>
      <c r="CQ6" s="1466"/>
      <c r="CR6" s="1466"/>
      <c r="CS6" s="1466"/>
      <c r="CT6" s="1466"/>
      <c r="CU6" s="1466"/>
      <c r="CV6" s="1466"/>
      <c r="CW6" s="1466"/>
      <c r="CX6" s="1466"/>
      <c r="CY6" s="1466"/>
      <c r="CZ6" s="1466"/>
      <c r="DA6" s="1466"/>
      <c r="DB6" s="1466"/>
      <c r="DC6" s="1466"/>
      <c r="DD6" s="1466"/>
      <c r="DE6" s="1466"/>
      <c r="DF6" s="1466"/>
      <c r="DG6" s="1466"/>
      <c r="DH6" s="1466"/>
      <c r="DI6" s="1466"/>
      <c r="DJ6" s="1466"/>
      <c r="DK6" s="1466"/>
      <c r="DL6" s="1466"/>
      <c r="DM6" s="1466"/>
      <c r="DN6" s="1466"/>
      <c r="DO6" s="1466"/>
      <c r="DP6" s="1466"/>
      <c r="DQ6" s="1466"/>
      <c r="DR6" s="1466"/>
      <c r="DS6" s="1466"/>
      <c r="DT6" s="1466"/>
      <c r="DU6" s="1466"/>
      <c r="DV6" s="1466"/>
      <c r="DW6" s="1466"/>
      <c r="DX6" s="1466"/>
      <c r="DY6" s="1466"/>
      <c r="DZ6" s="1466"/>
      <c r="EA6" s="1466"/>
      <c r="EB6" s="1466"/>
      <c r="EC6" s="1466"/>
      <c r="ED6" s="1466"/>
      <c r="EE6" s="1466"/>
      <c r="EF6" s="1466"/>
      <c r="EG6" s="1466"/>
      <c r="EH6" s="1466"/>
      <c r="EI6" s="1466"/>
      <c r="EJ6" s="1466"/>
      <c r="EK6" s="1466"/>
      <c r="EL6" s="1466"/>
      <c r="EM6" s="1466"/>
      <c r="EN6" s="1466"/>
      <c r="EO6" s="1466"/>
      <c r="EP6" s="1466"/>
      <c r="EQ6" s="1466"/>
      <c r="ER6" s="1466"/>
      <c r="ES6" s="1466"/>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466"/>
      <c r="GN6" s="1466"/>
      <c r="GO6" s="1466"/>
      <c r="GP6" s="1466"/>
      <c r="GQ6" s="1466"/>
      <c r="GR6" s="1466"/>
      <c r="GS6" s="1466"/>
      <c r="GT6" s="1466"/>
      <c r="GU6" s="1466"/>
      <c r="GV6" s="1466"/>
      <c r="GW6" s="1466"/>
      <c r="GX6" s="1466"/>
      <c r="GY6" s="1466"/>
      <c r="GZ6" s="1466"/>
      <c r="HA6" s="1466"/>
      <c r="HB6" s="1466"/>
      <c r="HC6" s="1466"/>
      <c r="HD6" s="1466"/>
      <c r="HE6" s="1466"/>
      <c r="HF6" s="1466"/>
      <c r="HG6" s="1466"/>
      <c r="HH6" s="1466"/>
      <c r="HI6" s="1466"/>
      <c r="HJ6" s="1466"/>
      <c r="HK6" s="1466"/>
    </row>
    <row r="7" spans="1:219" s="122" customFormat="1" ht="13.95" customHeight="1">
      <c r="A7" s="1502" t="str">
        <f>IF(A48&gt;0,"Finish!","")</f>
        <v/>
      </c>
      <c r="B7" s="5"/>
      <c r="C7" s="2"/>
      <c r="D7" s="5"/>
      <c r="E7" s="2"/>
      <c r="F7" s="2"/>
      <c r="G7" s="2"/>
      <c r="H7" s="2"/>
      <c r="I7" s="2"/>
      <c r="J7" s="3" t="s">
        <v>3645</v>
      </c>
      <c r="K7" s="2"/>
      <c r="L7" s="2"/>
      <c r="M7" s="2"/>
      <c r="N7" s="39"/>
      <c r="O7" s="39"/>
      <c r="P7" s="574"/>
      <c r="Q7" s="574"/>
      <c r="R7" s="574"/>
      <c r="T7" s="1467"/>
      <c r="U7" s="1467"/>
      <c r="V7" s="1467"/>
      <c r="W7" s="1467"/>
      <c r="X7" s="1467"/>
      <c r="Y7" s="1467"/>
      <c r="Z7" s="1467"/>
      <c r="AA7" s="1467"/>
      <c r="AB7" s="1467"/>
      <c r="AC7" s="1467"/>
      <c r="AD7" s="1467"/>
      <c r="AE7" s="1467"/>
      <c r="AF7" s="1467"/>
      <c r="AG7" s="1467"/>
      <c r="AH7" s="1467"/>
      <c r="AI7" s="1467"/>
      <c r="AJ7" s="1467"/>
      <c r="AK7" s="1467"/>
      <c r="AL7" s="1467"/>
      <c r="AM7" s="1467"/>
      <c r="AN7" s="1467"/>
      <c r="AO7" s="1467"/>
      <c r="AP7" s="1467"/>
      <c r="AQ7" s="1467"/>
      <c r="AR7" s="1467"/>
      <c r="AS7" s="1467"/>
      <c r="AT7" s="1467"/>
      <c r="AU7" s="1467"/>
      <c r="AV7" s="1467"/>
      <c r="AW7" s="1467"/>
      <c r="AX7" s="1467"/>
      <c r="AY7" s="1467"/>
      <c r="AZ7" s="1467"/>
      <c r="BA7" s="1467"/>
      <c r="BB7" s="1467"/>
      <c r="BC7" s="1467"/>
      <c r="BD7" s="1467"/>
      <c r="BE7" s="1467"/>
      <c r="BF7" s="1467"/>
      <c r="BG7" s="1467"/>
      <c r="BH7" s="1467"/>
      <c r="BI7" s="1467"/>
      <c r="BJ7" s="1467"/>
      <c r="BK7" s="1467"/>
      <c r="BL7" s="1467"/>
      <c r="BM7" s="1467"/>
      <c r="BN7" s="1467"/>
      <c r="BO7" s="1467"/>
      <c r="BP7" s="1467"/>
      <c r="BQ7" s="1467"/>
      <c r="BR7" s="1467"/>
      <c r="BS7" s="1467"/>
      <c r="BT7" s="1467"/>
      <c r="BU7" s="1467"/>
      <c r="BV7" s="1467"/>
      <c r="BW7" s="1467"/>
      <c r="BX7" s="1467"/>
      <c r="BY7" s="1467"/>
      <c r="BZ7" s="1467"/>
      <c r="CA7" s="1467"/>
      <c r="CB7" s="1466"/>
      <c r="CC7" s="1466"/>
      <c r="CD7" s="1466"/>
      <c r="CE7" s="1466"/>
      <c r="CF7" s="1466"/>
      <c r="CG7" s="1466"/>
      <c r="CH7" s="1466"/>
      <c r="CI7" s="1466"/>
      <c r="CJ7" s="1466"/>
      <c r="CK7" s="1466"/>
      <c r="CL7" s="1466"/>
      <c r="CM7" s="1466"/>
      <c r="CN7" s="1466"/>
      <c r="CO7" s="1466"/>
      <c r="CP7" s="1466"/>
      <c r="CQ7" s="1466"/>
      <c r="CR7" s="1466"/>
      <c r="CS7" s="1466"/>
      <c r="CT7" s="1466"/>
      <c r="CU7" s="1466"/>
      <c r="CV7" s="1466"/>
      <c r="CW7" s="1466"/>
      <c r="CX7" s="1466"/>
      <c r="CY7" s="1466"/>
      <c r="CZ7" s="1466"/>
      <c r="DA7" s="1466"/>
      <c r="DB7" s="1466"/>
      <c r="DC7" s="1466"/>
      <c r="DD7" s="1466"/>
      <c r="DE7" s="1466"/>
      <c r="DF7" s="1466"/>
      <c r="DG7" s="1466"/>
      <c r="DH7" s="1466"/>
      <c r="DI7" s="1466"/>
      <c r="DJ7" s="1466"/>
      <c r="DK7" s="1466"/>
      <c r="DL7" s="1466"/>
      <c r="DM7" s="1466"/>
      <c r="DN7" s="1466"/>
      <c r="DO7" s="1466"/>
      <c r="DP7" s="1466"/>
      <c r="DQ7" s="1466"/>
      <c r="DR7" s="1466"/>
      <c r="DS7" s="1466"/>
      <c r="DT7" s="1466"/>
      <c r="DU7" s="1466"/>
      <c r="DV7" s="1466"/>
      <c r="DW7" s="1466"/>
      <c r="DX7" s="1466"/>
      <c r="DY7" s="1466"/>
      <c r="DZ7" s="1466"/>
      <c r="EA7" s="1466"/>
      <c r="EB7" s="1466"/>
      <c r="EC7" s="1466"/>
      <c r="ED7" s="1466"/>
      <c r="EE7" s="1466"/>
      <c r="EF7" s="1466"/>
      <c r="EG7" s="1466"/>
      <c r="EH7" s="1466"/>
      <c r="EI7" s="1466"/>
      <c r="EJ7" s="1466"/>
      <c r="EK7" s="1466"/>
      <c r="EL7" s="1466"/>
      <c r="EM7" s="1466"/>
      <c r="EN7" s="1466"/>
      <c r="EO7" s="1466"/>
      <c r="EP7" s="1466"/>
      <c r="EQ7" s="1466"/>
      <c r="ER7" s="1466"/>
      <c r="ES7" s="1466"/>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466"/>
      <c r="GN7" s="1466"/>
      <c r="GO7" s="1466"/>
      <c r="GP7" s="1466"/>
      <c r="GQ7" s="1466"/>
      <c r="GR7" s="1466"/>
      <c r="GS7" s="1466"/>
      <c r="GT7" s="1466"/>
      <c r="GU7" s="1466"/>
      <c r="GV7" s="1466"/>
      <c r="GW7" s="1466"/>
      <c r="GX7" s="1466"/>
      <c r="GY7" s="1466"/>
      <c r="GZ7" s="1466"/>
      <c r="HA7" s="1466"/>
      <c r="HB7" s="1466"/>
      <c r="HC7" s="1466"/>
      <c r="HD7" s="1466"/>
      <c r="HE7" s="1466"/>
      <c r="HF7" s="1466"/>
      <c r="HG7" s="1466"/>
      <c r="HH7" s="1466"/>
      <c r="HI7" s="1466"/>
      <c r="HJ7" s="1466"/>
      <c r="HK7" s="1466"/>
    </row>
    <row r="8" spans="1:219" s="150" customFormat="1" ht="13.95" customHeight="1">
      <c r="A8" s="1502"/>
      <c r="B8" s="220" t="s">
        <v>2211</v>
      </c>
      <c r="C8" s="738" t="s">
        <v>228</v>
      </c>
      <c r="D8" s="738" t="s">
        <v>838</v>
      </c>
      <c r="E8" s="738" t="s">
        <v>2209</v>
      </c>
      <c r="F8" s="738" t="s">
        <v>2209</v>
      </c>
      <c r="G8" s="738" t="s">
        <v>3616</v>
      </c>
      <c r="H8" s="738" t="s">
        <v>3614</v>
      </c>
      <c r="I8" s="738" t="s">
        <v>1379</v>
      </c>
      <c r="J8" s="738" t="s">
        <v>3646</v>
      </c>
      <c r="K8" s="1501" t="s">
        <v>186</v>
      </c>
      <c r="L8" s="1501"/>
      <c r="M8" s="738" t="s">
        <v>3571</v>
      </c>
      <c r="N8" s="738" t="s">
        <v>824</v>
      </c>
      <c r="O8" s="738" t="s">
        <v>487</v>
      </c>
      <c r="P8" s="1504" t="s">
        <v>1664</v>
      </c>
      <c r="Q8" s="1504"/>
      <c r="R8" s="739"/>
      <c r="T8" s="1467"/>
      <c r="U8" s="1467"/>
      <c r="V8" s="1467"/>
      <c r="W8" s="1467"/>
      <c r="X8" s="1467"/>
      <c r="Y8" s="1467"/>
      <c r="Z8" s="1467"/>
      <c r="AA8" s="1467"/>
      <c r="AB8" s="1467"/>
      <c r="AC8" s="1467"/>
      <c r="AD8" s="1467"/>
      <c r="AE8" s="1467"/>
      <c r="AF8" s="1467"/>
      <c r="AG8" s="1467"/>
      <c r="AH8" s="1467"/>
      <c r="AI8" s="1467"/>
      <c r="AJ8" s="1467"/>
      <c r="AK8" s="1467"/>
      <c r="AL8" s="1467"/>
      <c r="AM8" s="1467"/>
      <c r="AN8" s="1467"/>
      <c r="AO8" s="1467"/>
      <c r="AP8" s="1467"/>
      <c r="AQ8" s="1467"/>
      <c r="AR8" s="1467"/>
      <c r="AS8" s="1467"/>
      <c r="AT8" s="1467"/>
      <c r="AU8" s="1467"/>
      <c r="AV8" s="1467"/>
      <c r="AW8" s="1467"/>
      <c r="AX8" s="1467"/>
      <c r="AY8" s="1467"/>
      <c r="AZ8" s="1467"/>
      <c r="BA8" s="1467"/>
      <c r="BB8" s="1467"/>
      <c r="BC8" s="1467"/>
      <c r="BD8" s="1467"/>
      <c r="BE8" s="1467"/>
      <c r="BF8" s="1467"/>
      <c r="BG8" s="1467"/>
      <c r="BH8" s="1467"/>
      <c r="BI8" s="1467"/>
      <c r="BJ8" s="1467"/>
      <c r="BK8" s="1467"/>
      <c r="BL8" s="1467"/>
      <c r="BM8" s="1467"/>
      <c r="BN8" s="1467"/>
      <c r="BO8" s="1467"/>
      <c r="BP8" s="1467"/>
      <c r="BQ8" s="1467"/>
      <c r="BR8" s="1467"/>
      <c r="BS8" s="1467"/>
      <c r="BT8" s="1467"/>
      <c r="BU8" s="1467"/>
      <c r="BV8" s="1467"/>
      <c r="BW8" s="1467"/>
      <c r="BX8" s="1467"/>
      <c r="BY8" s="1467"/>
      <c r="BZ8" s="1467"/>
      <c r="CA8" s="1467"/>
      <c r="CB8" s="1466"/>
      <c r="CC8" s="1466"/>
      <c r="CD8" s="1466"/>
      <c r="CE8" s="1466"/>
      <c r="CF8" s="1466"/>
      <c r="CG8" s="1466"/>
      <c r="CH8" s="1466"/>
      <c r="CI8" s="1466"/>
      <c r="CJ8" s="1466"/>
      <c r="CK8" s="1466"/>
      <c r="CL8" s="1466"/>
      <c r="CM8" s="1466"/>
      <c r="CN8" s="1466"/>
      <c r="CO8" s="1466"/>
      <c r="CP8" s="1466"/>
      <c r="CQ8" s="1466"/>
      <c r="CR8" s="1466"/>
      <c r="CS8" s="1466"/>
      <c r="CT8" s="1466"/>
      <c r="CU8" s="1466"/>
      <c r="CV8" s="1466"/>
      <c r="CW8" s="1466"/>
      <c r="CX8" s="1466"/>
      <c r="CY8" s="1466"/>
      <c r="CZ8" s="1466"/>
      <c r="DA8" s="1466"/>
      <c r="DB8" s="1466"/>
      <c r="DC8" s="1466"/>
      <c r="DD8" s="1466"/>
      <c r="DE8" s="1466"/>
      <c r="DF8" s="1466"/>
      <c r="DG8" s="1466"/>
      <c r="DH8" s="1466"/>
      <c r="DI8" s="1466"/>
      <c r="DJ8" s="1466"/>
      <c r="DK8" s="1466"/>
      <c r="DL8" s="1466"/>
      <c r="DM8" s="1466"/>
      <c r="DN8" s="1466"/>
      <c r="DO8" s="1466"/>
      <c r="DP8" s="1466"/>
      <c r="DQ8" s="1466"/>
      <c r="DR8" s="1466"/>
      <c r="DS8" s="1466"/>
      <c r="DT8" s="1466"/>
      <c r="DU8" s="1466"/>
      <c r="DV8" s="1466"/>
      <c r="DW8" s="1466"/>
      <c r="DX8" s="1466"/>
      <c r="DY8" s="1466"/>
      <c r="DZ8" s="1466"/>
      <c r="EA8" s="1466"/>
      <c r="EB8" s="1466"/>
      <c r="EC8" s="1466"/>
      <c r="ED8" s="1466"/>
      <c r="EE8" s="1466"/>
      <c r="EF8" s="1466"/>
      <c r="EG8" s="1466"/>
      <c r="EH8" s="1466"/>
      <c r="EI8" s="1466"/>
      <c r="EJ8" s="1466"/>
      <c r="EK8" s="1466"/>
      <c r="EL8" s="1466"/>
      <c r="EM8" s="1466"/>
      <c r="EN8" s="1466"/>
      <c r="EO8" s="1466"/>
      <c r="EP8" s="1466"/>
      <c r="EQ8" s="1466"/>
      <c r="ER8" s="1466"/>
      <c r="ES8" s="1466"/>
      <c r="ET8" s="1466" t="s">
        <v>2186</v>
      </c>
      <c r="EU8" s="445" t="s">
        <v>3685</v>
      </c>
      <c r="EV8" s="445" t="s">
        <v>3686</v>
      </c>
      <c r="EW8" s="445" t="s">
        <v>3687</v>
      </c>
      <c r="EX8" s="445" t="s">
        <v>3688</v>
      </c>
      <c r="EY8" s="1466" t="s">
        <v>3775</v>
      </c>
      <c r="EZ8" s="1466" t="s">
        <v>3775</v>
      </c>
      <c r="FA8" s="1466" t="s">
        <v>3775</v>
      </c>
      <c r="FB8" s="1466" t="s">
        <v>3775</v>
      </c>
      <c r="FC8" s="1466" t="s">
        <v>3775</v>
      </c>
      <c r="FD8" s="445" t="s">
        <v>715</v>
      </c>
      <c r="FE8" s="445" t="s">
        <v>3685</v>
      </c>
      <c r="FF8" s="445" t="s">
        <v>3686</v>
      </c>
      <c r="FG8" s="445" t="s">
        <v>3687</v>
      </c>
      <c r="FH8" s="445" t="s">
        <v>3688</v>
      </c>
      <c r="FI8" s="1466" t="s">
        <v>3777</v>
      </c>
      <c r="FJ8" s="1466" t="s">
        <v>3777</v>
      </c>
      <c r="FK8" s="1466" t="s">
        <v>3777</v>
      </c>
      <c r="FL8" s="1466" t="s">
        <v>3777</v>
      </c>
      <c r="FM8" s="1466" t="s">
        <v>3777</v>
      </c>
      <c r="FN8" s="1466" t="s">
        <v>459</v>
      </c>
      <c r="FO8" s="1466" t="s">
        <v>459</v>
      </c>
      <c r="FP8" s="1466" t="s">
        <v>459</v>
      </c>
      <c r="FQ8" s="1466" t="s">
        <v>459</v>
      </c>
      <c r="FR8" s="1466" t="s">
        <v>459</v>
      </c>
      <c r="FS8" s="1466" t="s">
        <v>460</v>
      </c>
      <c r="FT8" s="1466" t="s">
        <v>460</v>
      </c>
      <c r="FU8" s="1466" t="s">
        <v>460</v>
      </c>
      <c r="FV8" s="1466" t="s">
        <v>460</v>
      </c>
      <c r="FW8" s="1466" t="s">
        <v>460</v>
      </c>
      <c r="FX8" s="1466" t="s">
        <v>461</v>
      </c>
      <c r="FY8" s="1466" t="s">
        <v>461</v>
      </c>
      <c r="FZ8" s="1466" t="s">
        <v>461</v>
      </c>
      <c r="GA8" s="1466" t="s">
        <v>461</v>
      </c>
      <c r="GB8" s="1466" t="s">
        <v>461</v>
      </c>
      <c r="GC8" s="1466" t="s">
        <v>462</v>
      </c>
      <c r="GD8" s="1466" t="s">
        <v>462</v>
      </c>
      <c r="GE8" s="1466" t="s">
        <v>462</v>
      </c>
      <c r="GF8" s="1466" t="s">
        <v>462</v>
      </c>
      <c r="GG8" s="1466" t="s">
        <v>462</v>
      </c>
      <c r="GH8" s="1466" t="s">
        <v>2185</v>
      </c>
      <c r="GI8" s="1466" t="s">
        <v>2185</v>
      </c>
      <c r="GJ8" s="1466" t="s">
        <v>2185</v>
      </c>
      <c r="GK8" s="1466" t="s">
        <v>2185</v>
      </c>
      <c r="GL8" s="1466" t="s">
        <v>2185</v>
      </c>
      <c r="GM8" s="1466"/>
      <c r="GN8" s="1466"/>
      <c r="GO8" s="1466"/>
      <c r="GP8" s="1466"/>
      <c r="GQ8" s="1466"/>
      <c r="GR8" s="1466"/>
      <c r="GS8" s="1466"/>
      <c r="GT8" s="1466"/>
      <c r="GU8" s="1466"/>
      <c r="GV8" s="1466"/>
      <c r="GW8" s="1466"/>
      <c r="GX8" s="1466"/>
      <c r="GY8" s="1466"/>
      <c r="GZ8" s="1466"/>
      <c r="HA8" s="1466"/>
      <c r="HB8" s="1466"/>
      <c r="HC8" s="1466"/>
      <c r="HD8" s="1466"/>
      <c r="HE8" s="1466"/>
      <c r="HF8" s="1466"/>
      <c r="HG8" s="1466"/>
      <c r="HH8" s="1466"/>
      <c r="HI8" s="1466"/>
      <c r="HJ8" s="1466"/>
      <c r="HK8" s="1466"/>
    </row>
    <row r="9" spans="1:219" s="150" customFormat="1" ht="13.95" customHeight="1">
      <c r="A9" s="1502"/>
      <c r="B9" s="220" t="s">
        <v>1995</v>
      </c>
      <c r="C9" s="738" t="s">
        <v>227</v>
      </c>
      <c r="D9" s="738" t="s">
        <v>229</v>
      </c>
      <c r="E9" s="738" t="s">
        <v>2210</v>
      </c>
      <c r="F9" s="738" t="s">
        <v>1962</v>
      </c>
      <c r="G9" s="738" t="s">
        <v>1963</v>
      </c>
      <c r="H9" s="738" t="s">
        <v>3615</v>
      </c>
      <c r="I9" s="738" t="s">
        <v>1380</v>
      </c>
      <c r="J9" s="684" t="s">
        <v>450</v>
      </c>
      <c r="K9" s="738" t="s">
        <v>2280</v>
      </c>
      <c r="L9" s="738" t="s">
        <v>831</v>
      </c>
      <c r="M9" s="738" t="s">
        <v>2209</v>
      </c>
      <c r="N9" s="738" t="s">
        <v>1995</v>
      </c>
      <c r="O9" s="738" t="s">
        <v>488</v>
      </c>
      <c r="P9" s="739" t="s">
        <v>1662</v>
      </c>
      <c r="Q9" s="739" t="s">
        <v>1663</v>
      </c>
      <c r="R9" s="739"/>
      <c r="S9" s="739" t="s">
        <v>656</v>
      </c>
      <c r="T9" s="1467"/>
      <c r="U9" s="1467"/>
      <c r="V9" s="1467"/>
      <c r="W9" s="1467"/>
      <c r="X9" s="1467"/>
      <c r="Y9" s="1467"/>
      <c r="Z9" s="1467"/>
      <c r="AA9" s="1467"/>
      <c r="AB9" s="1467"/>
      <c r="AC9" s="1467"/>
      <c r="AD9" s="1467"/>
      <c r="AE9" s="1467"/>
      <c r="AF9" s="1467"/>
      <c r="AG9" s="1467"/>
      <c r="AH9" s="1467"/>
      <c r="AI9" s="1467"/>
      <c r="AJ9" s="1467"/>
      <c r="AK9" s="1467"/>
      <c r="AL9" s="1467"/>
      <c r="AM9" s="1467"/>
      <c r="AN9" s="1467"/>
      <c r="AO9" s="1467"/>
      <c r="AP9" s="1467"/>
      <c r="AQ9" s="1467"/>
      <c r="AR9" s="1467"/>
      <c r="AS9" s="1467"/>
      <c r="AT9" s="1467"/>
      <c r="AU9" s="1467"/>
      <c r="AV9" s="1467"/>
      <c r="AW9" s="1467"/>
      <c r="AX9" s="1467"/>
      <c r="AY9" s="1467"/>
      <c r="AZ9" s="1467"/>
      <c r="BA9" s="1467"/>
      <c r="BB9" s="1467"/>
      <c r="BC9" s="1467"/>
      <c r="BD9" s="1467"/>
      <c r="BE9" s="1467"/>
      <c r="BF9" s="1467"/>
      <c r="BG9" s="1467"/>
      <c r="BH9" s="1467"/>
      <c r="BI9" s="1467"/>
      <c r="BJ9" s="1467"/>
      <c r="BK9" s="1467"/>
      <c r="BL9" s="1467"/>
      <c r="BM9" s="1467"/>
      <c r="BN9" s="1467"/>
      <c r="BO9" s="1467"/>
      <c r="BP9" s="1467"/>
      <c r="BQ9" s="1467"/>
      <c r="BR9" s="1467"/>
      <c r="BS9" s="1467"/>
      <c r="BT9" s="1467"/>
      <c r="BU9" s="1467"/>
      <c r="BV9" s="1467"/>
      <c r="BW9" s="1467"/>
      <c r="BX9" s="1467"/>
      <c r="BY9" s="1467"/>
      <c r="BZ9" s="1467"/>
      <c r="CA9" s="1467"/>
      <c r="CB9" s="1466"/>
      <c r="CC9" s="1466"/>
      <c r="CD9" s="1466"/>
      <c r="CE9" s="1466"/>
      <c r="CF9" s="1466"/>
      <c r="CG9" s="1466"/>
      <c r="CH9" s="1466"/>
      <c r="CI9" s="1466"/>
      <c r="CJ9" s="1466"/>
      <c r="CK9" s="1466"/>
      <c r="CL9" s="1466"/>
      <c r="CM9" s="1466"/>
      <c r="CN9" s="1466"/>
      <c r="CO9" s="1466"/>
      <c r="CP9" s="1466"/>
      <c r="CQ9" s="1466"/>
      <c r="CR9" s="1466"/>
      <c r="CS9" s="1466"/>
      <c r="CT9" s="1466"/>
      <c r="CU9" s="1466"/>
      <c r="CV9" s="1466"/>
      <c r="CW9" s="1466"/>
      <c r="CX9" s="1466"/>
      <c r="CY9" s="1466"/>
      <c r="CZ9" s="1466"/>
      <c r="DA9" s="1466"/>
      <c r="DB9" s="1466"/>
      <c r="DC9" s="1466"/>
      <c r="DD9" s="1466"/>
      <c r="DE9" s="1466"/>
      <c r="DF9" s="1466"/>
      <c r="DG9" s="1466"/>
      <c r="DH9" s="1466"/>
      <c r="DI9" s="1466"/>
      <c r="DJ9" s="1466"/>
      <c r="DK9" s="1466"/>
      <c r="DL9" s="1466"/>
      <c r="DM9" s="1466"/>
      <c r="DN9" s="1466"/>
      <c r="DO9" s="1466"/>
      <c r="DP9" s="1466"/>
      <c r="DQ9" s="1466"/>
      <c r="DR9" s="1466"/>
      <c r="DS9" s="1466"/>
      <c r="DT9" s="1466"/>
      <c r="DU9" s="1466"/>
      <c r="DV9" s="1466"/>
      <c r="DW9" s="1466"/>
      <c r="DX9" s="1466"/>
      <c r="DY9" s="1466"/>
      <c r="DZ9" s="1466"/>
      <c r="EA9" s="1466"/>
      <c r="EB9" s="1466"/>
      <c r="EC9" s="1466"/>
      <c r="ED9" s="1466"/>
      <c r="EE9" s="1466"/>
      <c r="EF9" s="1466"/>
      <c r="EG9" s="1466"/>
      <c r="EH9" s="1466"/>
      <c r="EI9" s="1466"/>
      <c r="EJ9" s="1466"/>
      <c r="EK9" s="1466"/>
      <c r="EL9" s="1466"/>
      <c r="EM9" s="1466"/>
      <c r="EN9" s="1466"/>
      <c r="EO9" s="1466"/>
      <c r="EP9" s="1466"/>
      <c r="EQ9" s="1466"/>
      <c r="ER9" s="1466"/>
      <c r="ES9" s="1466"/>
      <c r="ET9" s="1466"/>
      <c r="EU9" s="445" t="s">
        <v>3774</v>
      </c>
      <c r="EV9" s="445" t="s">
        <v>3774</v>
      </c>
      <c r="EW9" s="445" t="s">
        <v>3774</v>
      </c>
      <c r="EX9" s="445" t="s">
        <v>3774</v>
      </c>
      <c r="EY9" s="1466"/>
      <c r="EZ9" s="1466"/>
      <c r="FA9" s="1466"/>
      <c r="FB9" s="1466"/>
      <c r="FC9" s="1466"/>
      <c r="FD9" s="445" t="s">
        <v>3776</v>
      </c>
      <c r="FE9" s="445" t="s">
        <v>3776</v>
      </c>
      <c r="FF9" s="445" t="s">
        <v>3776</v>
      </c>
      <c r="FG9" s="445" t="s">
        <v>3776</v>
      </c>
      <c r="FH9" s="445" t="s">
        <v>3776</v>
      </c>
      <c r="FI9" s="1466"/>
      <c r="FJ9" s="1466"/>
      <c r="FK9" s="1466"/>
      <c r="FL9" s="1466"/>
      <c r="FM9" s="1466"/>
      <c r="FN9" s="1466"/>
      <c r="FO9" s="1466"/>
      <c r="FP9" s="1466"/>
      <c r="FQ9" s="1466"/>
      <c r="FR9" s="1466"/>
      <c r="FS9" s="1466"/>
      <c r="FT9" s="1466"/>
      <c r="FU9" s="1466"/>
      <c r="FV9" s="1466"/>
      <c r="FW9" s="1466"/>
      <c r="FX9" s="1466"/>
      <c r="FY9" s="1466"/>
      <c r="FZ9" s="1466"/>
      <c r="GA9" s="1466"/>
      <c r="GB9" s="1466"/>
      <c r="GC9" s="1466"/>
      <c r="GD9" s="1466"/>
      <c r="GE9" s="1466"/>
      <c r="GF9" s="1466"/>
      <c r="GG9" s="1466"/>
      <c r="GH9" s="1466"/>
      <c r="GI9" s="1466"/>
      <c r="GJ9" s="1466"/>
      <c r="GK9" s="1466"/>
      <c r="GL9" s="1466"/>
      <c r="GM9" s="1466"/>
      <c r="GN9" s="1466"/>
      <c r="GO9" s="1466"/>
      <c r="GP9" s="1466"/>
      <c r="GQ9" s="1466"/>
      <c r="GR9" s="1466"/>
      <c r="GS9" s="1466"/>
      <c r="GT9" s="1466"/>
      <c r="GU9" s="1466"/>
      <c r="GV9" s="1466"/>
      <c r="GW9" s="1466"/>
      <c r="GX9" s="1466"/>
      <c r="GY9" s="1466"/>
      <c r="GZ9" s="1466"/>
      <c r="HA9" s="1466"/>
      <c r="HB9" s="1466"/>
      <c r="HC9" s="1466"/>
      <c r="HD9" s="1466"/>
      <c r="HE9" s="1466"/>
      <c r="HF9" s="1466"/>
      <c r="HG9" s="1466"/>
      <c r="HH9" s="1466"/>
      <c r="HI9" s="1466"/>
      <c r="HJ9" s="1466"/>
      <c r="HK9" s="1466"/>
    </row>
    <row r="10" spans="1:219" ht="13.2" customHeight="1">
      <c r="A10" s="146" t="str">
        <f>IF(AND(E10&gt;0,OR(B10="",C10="",D10="",F10="",G10="", H10="",M10="",N10="",O10="")),1,"")</f>
        <v/>
      </c>
      <c r="B10" s="830" t="s">
        <v>1790</v>
      </c>
      <c r="C10" s="831">
        <v>1</v>
      </c>
      <c r="D10" s="832">
        <v>1</v>
      </c>
      <c r="E10" s="833">
        <v>5</v>
      </c>
      <c r="F10" s="833">
        <v>692</v>
      </c>
      <c r="G10" s="833">
        <v>589</v>
      </c>
      <c r="H10" s="833">
        <v>497</v>
      </c>
      <c r="I10" s="833">
        <v>110</v>
      </c>
      <c r="J10" s="834" t="s">
        <v>4030</v>
      </c>
      <c r="K10" s="226">
        <f>MAX(0,H10-I10)</f>
        <v>387</v>
      </c>
      <c r="L10" s="226">
        <f t="shared" ref="L10:L47" si="0">MAX(0,E10*K10)</f>
        <v>1935</v>
      </c>
      <c r="M10" s="835" t="s">
        <v>3919</v>
      </c>
      <c r="N10" s="835" t="s">
        <v>3985</v>
      </c>
      <c r="O10" s="835" t="s">
        <v>3986</v>
      </c>
      <c r="P10" s="581">
        <f t="shared" ref="P10:P20" si="1">IF(H10="","",H10*12/0.3)</f>
        <v>19880</v>
      </c>
      <c r="Q10" s="582">
        <f>IF(H10="","",P10/($P$6*VLOOKUP(C10,'DCA Underwriting Assumptions'!$J$77:$K$82,2,FALSE)))</f>
        <v>0.51872146118721463</v>
      </c>
      <c r="R10" s="739"/>
      <c r="S10" s="659"/>
      <c r="T10" s="113" t="str">
        <f t="shared" ref="T10:T47" si="2">IF(AND(C10="Efficiency",B10="60% AMI",NOT(M10="Common")),E10,"")</f>
        <v/>
      </c>
      <c r="U10" s="113">
        <f t="shared" ref="U10:U47" si="3">IF(AND(C10=1,B10="60% AMI",NOT(M10="Common")),E10,"")</f>
        <v>5</v>
      </c>
      <c r="V10" s="113" t="str">
        <f t="shared" ref="V10:V47" si="4">IF(AND(C10=2,B10="60% AMI",NOT(M10="Common")),E10,"")</f>
        <v/>
      </c>
      <c r="W10" s="113" t="str">
        <f t="shared" ref="W10:W47" si="5">IF(AND(C10=3,B10="60% AMI",NOT(M10="Common")),E10,"")</f>
        <v/>
      </c>
      <c r="X10" s="113" t="str">
        <f t="shared" ref="X10:X47" si="6">IF(AND(C10=4,B10="60% AMI",NOT(M10="Common")),E10,"")</f>
        <v/>
      </c>
      <c r="Y10" s="113" t="str">
        <f t="shared" ref="Y10:Y47" si="7">IF(AND(C10="Efficiency",B10="50% AMI",NOT(M10="Common")),E10,"")</f>
        <v/>
      </c>
      <c r="Z10" s="113" t="str">
        <f t="shared" ref="Z10:Z47" si="8">IF(AND(C10=1,B10="50% AMI",NOT(M10="Common")),E10,"")</f>
        <v/>
      </c>
      <c r="AA10" s="113" t="str">
        <f t="shared" ref="AA10:AA47" si="9">IF(AND(C10=2,B10="50% AMI",NOT(M10="Common")),E10,"")</f>
        <v/>
      </c>
      <c r="AB10" s="113" t="str">
        <f t="shared" ref="AB10:AB47" si="10">IF(AND(C10=3,B10="50% AMI",NOT(M10="Common")),E10,"")</f>
        <v/>
      </c>
      <c r="AC10" s="113" t="str">
        <f t="shared" ref="AC10:AC47" si="11">IF(AND(C10=4,B10="50% AMI",NOT(M10="Common")),E10,"")</f>
        <v/>
      </c>
      <c r="AD10" s="113" t="str">
        <f t="shared" ref="AD10:AD47" si="12">IF(AND(C10="Efficiency",B10="30% AMI",NOT(M10="Common")),E10,"")</f>
        <v/>
      </c>
      <c r="AE10" s="113" t="str">
        <f t="shared" ref="AE10:AE47" si="13">IF(AND(C10=1,B10="30% AMI",NOT(M10="Common")),E10,"")</f>
        <v/>
      </c>
      <c r="AF10" s="113" t="str">
        <f t="shared" ref="AF10:AF47" si="14">IF(AND(C10=2,B10="30% AMI",NOT(M10="Common")),E10,"")</f>
        <v/>
      </c>
      <c r="AG10" s="113" t="str">
        <f t="shared" ref="AG10:AG47" si="15">IF(AND(C10=3,B10="30% AMI",NOT(M10="Common")),E10,"")</f>
        <v/>
      </c>
      <c r="AH10" s="113" t="str">
        <f t="shared" ref="AH10:AH47" si="16">IF(AND(C10=4,B10="30% AMI",NOT(M10="Common")),E10,"")</f>
        <v/>
      </c>
      <c r="AI10" s="113" t="str">
        <f t="shared" ref="AI10:AI47" si="17">IF(AND(C10="Efficiency",B10="Unrestricted",NOT(M10="Common")),E10,"")</f>
        <v/>
      </c>
      <c r="AJ10" s="113" t="str">
        <f t="shared" ref="AJ10:AJ47" si="18">IF(AND(C10=1,B10="Unrestricted",NOT(M10="Common")),E10,"")</f>
        <v/>
      </c>
      <c r="AK10" s="113" t="str">
        <f t="shared" ref="AK10:AK47" si="19">IF(AND(C10=2,B10="Unrestricted",NOT(M10="Common")),E10,"")</f>
        <v/>
      </c>
      <c r="AL10" s="113" t="str">
        <f t="shared" ref="AL10:AL47" si="20">IF(AND(C10=3,B10="Unrestricted",NOT(M10="Common")),E10,"")</f>
        <v/>
      </c>
      <c r="AM10" s="113" t="str">
        <f t="shared" ref="AM10:AM47" si="21">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f>IF(OR(AND($C10=1,NOT($J10=""),NOT($J10=0),NOT($J10="PHA Oper Sub"),$B10="60% AMI",NOT($M10="Common")),AND($C10=1,NOT($J10=""),NOT($J10=0),NOT($J10="PHA Oper Sub"),$B10="HOME 60% AMI",NOT($M10="Common"))),$E10,"")</f>
        <v>5</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2">IF(AND(C10="Efficiency",M10="Common"),E10,"")</f>
        <v/>
      </c>
      <c r="BS10" s="113" t="str">
        <f t="shared" ref="BS10:BS47" si="23">IF(AND(C10=1,M10="Common"),E10,"")</f>
        <v/>
      </c>
      <c r="BT10" s="113" t="str">
        <f t="shared" ref="BT10:BT47" si="24">IF(AND(C10=2,M10="Common"),E10,"")</f>
        <v/>
      </c>
      <c r="BU10" s="113" t="str">
        <f t="shared" ref="BU10:BU47" si="25">IF(AND(C10=3,M10="Common"),E10,"")</f>
        <v/>
      </c>
      <c r="BV10" s="113" t="str">
        <f t="shared" ref="BV10:BV47" si="26">IF(AND(C10=4,M10="Common"),E10,"")</f>
        <v/>
      </c>
      <c r="BW10" s="113" t="str">
        <f t="shared" ref="BW10:BW47" si="27">IF(OR(AND(C10="Efficiency",B10="60% AMI",NOT(M10="Common")),AND(C10="Efficiency",B10="HOME 60% AMI",NOT(M10="Common"))),E10*F10,"")</f>
        <v/>
      </c>
      <c r="BX10" s="113">
        <f t="shared" ref="BX10:BX47" si="28">IF(OR(AND(C10=1,B10="60% AMI",NOT(M10="Common")),AND(C10=1,B10="HOME 60% AMI",NOT(M10="Common"))),E10*F10,"")</f>
        <v>3460</v>
      </c>
      <c r="BY10" s="113" t="str">
        <f t="shared" ref="BY10:BY47" si="29">IF(OR(AND(C10=2,B10="60% AMI",NOT(M10="Common")),AND(C10=2,B10="HOME 60% AMI",NOT(M10="Common"))),E10*F10,"")</f>
        <v/>
      </c>
      <c r="BZ10" s="113" t="str">
        <f t="shared" ref="BZ10:BZ47" si="30">IF(OR(AND(C10=3,B10="60% AMI",NOT(M10="Common")),AND(C10=3,B10="HOME 60% AMI",NOT(M10="Common"))),E10*F10,"")</f>
        <v/>
      </c>
      <c r="CA10" s="113" t="str">
        <f t="shared" ref="CA10:CA47" si="31">IF(OR(AND(C10=4,B10="60% AMI",NOT(M10="Common")),AND(C10=4,B10="HOME 60% AMI",NOT(M10="Common"))),E10*F10,"")</f>
        <v/>
      </c>
      <c r="CB10" s="113" t="str">
        <f t="shared" ref="CB10:CB47" si="32">IF(OR(AND(C10="Efficiency",B10="50% AMI",NOT(M10="Common")),AND(C10="Efficiency",B10="HOME 50% AMI",NOT(M10="Common"))),E10*F10,"")</f>
        <v/>
      </c>
      <c r="CC10" s="113" t="str">
        <f t="shared" ref="CC10:CC47" si="33">IF(OR(AND(C10=1,B10="50% AMI",NOT(M10="Common")),AND(C10=1,B10="HOME 50% AMI",NOT(M10="Common"))),E10*F10,"")</f>
        <v/>
      </c>
      <c r="CD10" s="113" t="str">
        <f t="shared" ref="CD10:CD47" si="34">IF(OR(AND(C10=2,B10="50% AMI",NOT(M10="Common")),AND(C10=2,B10="HOME 50% AMI",NOT(M10="Common"))),E10*F10,"")</f>
        <v/>
      </c>
      <c r="CE10" s="113" t="str">
        <f t="shared" ref="CE10:CE47" si="35">IF(OR(AND(C10=3,B10="50% AMI",NOT(M10="Common")),AND(C10=3,B10="HOME 50% AMI",NOT(M10="Common"))),E10*F10,"")</f>
        <v/>
      </c>
      <c r="CF10" s="113" t="str">
        <f t="shared" ref="CF10:CF47" si="36">IF(OR(AND(C10=4,B10="50% AMI",NOT(M10="Common")),AND(C10=4,B10="HOME 50% AMI",NOT(M10="Common"))),E10*F10,"")</f>
        <v/>
      </c>
      <c r="CG10" s="113" t="str">
        <f t="shared" ref="CG10:CG47" si="37">IF(OR(AND(C10="Efficiency",B10="30% AMI",NOT(M10="Common")),AND(C10="Efficiency",B10="HOME 30% AMI",NOT(M10="Common"))),E10*F10,"")</f>
        <v/>
      </c>
      <c r="CH10" s="113" t="str">
        <f t="shared" ref="CH10:CH47" si="38">IF(OR(AND(C10=1,B10="30% AMI",NOT(M10="Common")),AND(C10=1,B10="HOME 30% AMI",NOT(M10="Common"))),E10*F10,"")</f>
        <v/>
      </c>
      <c r="CI10" s="113" t="str">
        <f t="shared" ref="CI10:CI47" si="39">IF(OR(AND(C10=2,B10="30% AMI",NOT(M10="Common")),AND(C10=2,B10="HOME 30% AMI",NOT(M10="Common"))),E10*F10,"")</f>
        <v/>
      </c>
      <c r="CJ10" s="113" t="str">
        <f t="shared" ref="CJ10:CJ47" si="40">IF(OR(AND(C10=3,B10="30% AMI",NOT(M10="Common")),AND(C10=3,B10="HOME 30% AMI",NOT(M10="Common"))),E10*F10,"")</f>
        <v/>
      </c>
      <c r="CK10" s="113" t="str">
        <f t="shared" ref="CK10:CK47" si="41">IF(OR(AND(C10=4,B10="30% AMI",NOT(M10="Common")),AND(C10=4,B10="HOME 30% AMI",NOT(M10="Common"))),E10*F10,"")</f>
        <v/>
      </c>
      <c r="CL10" s="113" t="str">
        <f t="shared" ref="CL10:CL47" si="42">IF(AND(C10="Efficiency",B10="Unrestricted",NOT(M10="Common")),E10*F10,"")</f>
        <v/>
      </c>
      <c r="CM10" s="113" t="str">
        <f t="shared" ref="CM10:CM47" si="43">IF(AND(C10=1,B10="Unrestricted",NOT(M10="Common")),E10*F10,"")</f>
        <v/>
      </c>
      <c r="CN10" s="113" t="str">
        <f t="shared" ref="CN10:CN47" si="44">IF(AND(C10=2,B10="Unrestricted",NOT(M10="Common")),E10*F10,"")</f>
        <v/>
      </c>
      <c r="CO10" s="113" t="str">
        <f t="shared" ref="CO10:CO47" si="45">IF(AND(C10=3,B10="Unrestricted",NOT(M10="Common")),E10*F10,"")</f>
        <v/>
      </c>
      <c r="CP10" s="113" t="str">
        <f t="shared" ref="CP10:CP47" si="46">IF(AND(C10=4,B10="Unrestricted",NOT(M10="Common")),E10*F10,"")</f>
        <v/>
      </c>
      <c r="CQ10" s="113" t="str">
        <f t="shared" ref="CQ10:CQ47" si="47">IF(AND(C10="Efficiency",NOT(J10=""),NOT($J10=0),NOT(M10="Common")),E10*F10,"")</f>
        <v/>
      </c>
      <c r="CR10" s="113">
        <f t="shared" ref="CR10:CR47" si="48">IF(AND(C10=1,NOT(J10=""),NOT($J10=0),NOT(M10="Common")),E10*F10,"")</f>
        <v>3460</v>
      </c>
      <c r="CS10" s="113" t="str">
        <f t="shared" ref="CS10:CS47" si="49">IF(AND(C10=2,NOT(J10=""),NOT($J10=0),NOT(M10="Common")),E10*F10,"")</f>
        <v/>
      </c>
      <c r="CT10" s="113" t="str">
        <f t="shared" ref="CT10:CT47" si="50">IF(AND(C10=3,NOT(J10=""),NOT($J10=0),NOT(M10="Common")),E10*F10,"")</f>
        <v/>
      </c>
      <c r="CU10" s="113" t="str">
        <f t="shared" ref="CU10:CU47" si="51">IF(AND(C10=4,NOT(J10=""),NOT($J10=0),NOT(M10="Common")),E10*F10,"")</f>
        <v/>
      </c>
      <c r="CV10" s="113" t="str">
        <f t="shared" ref="CV10:CV47" si="52">IF(AND(C10="Efficiency",M10="Common"),E10*F10,"")</f>
        <v/>
      </c>
      <c r="CW10" s="113" t="str">
        <f t="shared" ref="CW10:CW47" si="53">IF(AND(C10=1,M10="Common"),E10*F10,"")</f>
        <v/>
      </c>
      <c r="CX10" s="113" t="str">
        <f t="shared" ref="CX10:CX47" si="54">IF(AND(C10=2,M10="Common"),E10*F10,"")</f>
        <v/>
      </c>
      <c r="CY10" s="113" t="str">
        <f t="shared" ref="CY10:CY47" si="55">IF(AND(C10=3,M10="Common"),E10*F10,"")</f>
        <v/>
      </c>
      <c r="CZ10" s="113" t="str">
        <f t="shared" ref="CZ10:CZ47" si="56">IF(AND(C10=4,M10="Common"),E10*F10,"")</f>
        <v/>
      </c>
      <c r="DA10" s="113" t="str">
        <f t="shared" ref="DA10:DA47" si="57">IF(AND($C10="Efficiency", $O10="New Construction",NOT($B10="Unrestricted"),NOT($B10="NSP 120% AMI"),NOT($B10="N/A-CS"),NOT($M10="Common")),$E10,"")</f>
        <v/>
      </c>
      <c r="DB10" s="113" t="str">
        <f t="shared" ref="DB10:DB47" si="58">IF(AND($C10=1, $O10="New Construction",NOT($B10="Unrestricted"),NOT($B10="NSP 120% AMI"),NOT($B10="N/A-CS"),NOT($M10="Common")),$E10,"")</f>
        <v/>
      </c>
      <c r="DC10" s="113" t="str">
        <f t="shared" ref="DC10:DC47" si="59">IF(AND($C10=2, $O10="New Construction",NOT($B10="Unrestricted"),NOT($B10="NSP 120% AMI"),NOT($B10="N/A-CS"),NOT($M10="Common")),$E10,"")</f>
        <v/>
      </c>
      <c r="DD10" s="113" t="str">
        <f t="shared" ref="DD10:DD47" si="60">IF(AND($C10=3, $O10="New Construction",NOT($B10="Unrestricted"),NOT($B10="NSP 120% AMI"),NOT($B10="N/A-CS"),NOT($M10="Common")),$E10,"")</f>
        <v/>
      </c>
      <c r="DE10" s="113" t="str">
        <f t="shared" ref="DE10:DE47" si="61">IF(AND($C10=4, $O10="New Construction",NOT($B10="Unrestricted"),NOT($B10="NSP 120% AMI"),NOT($B10="N/A-CS"),NOT($M10="Common")),$E10,"")</f>
        <v/>
      </c>
      <c r="DF10" s="113" t="str">
        <f t="shared" ref="DF10:DF47" si="62">IF(AND($C10="Efficiency", $O10="New Construction",$B10="Unrestricted",NOT($B10="N/A-CS"),NOT($M10="Common")),$E10,"")</f>
        <v/>
      </c>
      <c r="DG10" s="113" t="str">
        <f t="shared" ref="DG10:DG47" si="63">IF(AND($C10=1, $O10="New Construction",$B10="Unrestricted",NOT($B10="N/A-CS"),NOT($M10="Common")),$E10,"")</f>
        <v/>
      </c>
      <c r="DH10" s="113" t="str">
        <f t="shared" ref="DH10:DH47" si="64">IF(AND($C10=2, $O10="New Construction",$B10="Unrestricted",NOT($B10="N/A-CS"),NOT($M10="Common")),$E10,"")</f>
        <v/>
      </c>
      <c r="DI10" s="113" t="str">
        <f t="shared" ref="DI10:DI47" si="65">IF(AND($C10=3, $O10="New Construction",$B10="Unrestricted",NOT($B10="N/A-CS"),NOT($M10="Common")),$E10,"")</f>
        <v/>
      </c>
      <c r="DJ10" s="113" t="str">
        <f t="shared" ref="DJ10:DJ47" si="66">IF(AND($C10=4, $O10="New Construction",$B10="Unrestricted",NOT($B10="N/A-CS"),NOT($M10="Common")),$E10,"")</f>
        <v/>
      </c>
      <c r="DK10" s="113" t="str">
        <f t="shared" ref="DK10:DK47" si="67">IF(AND($C10="Efficiency", $O10="New Construction",$B10="N/A-CS",$M10="Common"),$E10,"")</f>
        <v/>
      </c>
      <c r="DL10" s="113" t="str">
        <f t="shared" ref="DL10:DL47" si="68">IF(AND($C10=1, $O10="New Construction",$B10="N/A-CS",$M10="Common"),$E10,"")</f>
        <v/>
      </c>
      <c r="DM10" s="113" t="str">
        <f t="shared" ref="DM10:DM47" si="69">IF(AND($C10=2, $O10="New Construction",$B10="N/A-CS",$M10="Common"),$E10,"")</f>
        <v/>
      </c>
      <c r="DN10" s="113" t="str">
        <f t="shared" ref="DN10:DN47" si="70">IF(AND($C10=3, $O10="New Construction",$B10="N/A-CS",$M10="Common"),$E10,"")</f>
        <v/>
      </c>
      <c r="DO10" s="113" t="str">
        <f t="shared" ref="DO10:DO47" si="71">IF(AND($C10=4, $O10="New Construction",$B10="N/A-CS",$M10="Common"),$E10,"")</f>
        <v/>
      </c>
      <c r="DP10" s="113" t="str">
        <f t="shared" ref="DP10:DP47" si="72">IF(AND($C10="Efficiency", $O10="Acquisition/Rehab",NOT($B10="Unrestricted"),NOT($B10="NSP 120% AMI"),NOT($B10="N/A-CS"),NOT($M10="Common")),$E10,"")</f>
        <v/>
      </c>
      <c r="DQ10" s="113">
        <f t="shared" ref="DQ10:DQ47" si="73">IF(AND($C10=1, $O10="Acquisition/Rehab",NOT($B10="Unrestricted"),NOT($B10="NSP 120% AMI"),NOT($B10="N/A-CS"),NOT($M10="Common")),$E10,"")</f>
        <v>5</v>
      </c>
      <c r="DR10" s="113" t="str">
        <f t="shared" ref="DR10:DR47" si="74">IF(AND($C10=2, $O10="Acquisition/Rehab",NOT($B10="Unrestricted"),NOT($B10="NSP 120% AMI"),NOT($B10="N/A-CS"),NOT($M10="Common")),$E10,"")</f>
        <v/>
      </c>
      <c r="DS10" s="113" t="str">
        <f t="shared" ref="DS10:DS47" si="75">IF(AND($C10=3, $O10="Acquisition/Rehab",NOT($B10="Unrestricted"),NOT($B10="NSP 120% AMI"),NOT($B10="N/A-CS"),NOT($M10="Common")),$E10,"")</f>
        <v/>
      </c>
      <c r="DT10" s="113" t="str">
        <f t="shared" ref="DT10:DT47" si="76">IF(AND($C10=4, $O10="Acquisition/Rehab",NOT($B10="Unrestricted"),NOT($B10="NSP 120% AMI"),NOT($B10="N/A-CS"),NOT($M10="Common")),$E10,"")</f>
        <v/>
      </c>
      <c r="DU10" s="113" t="str">
        <f t="shared" ref="DU10:DU47" si="77">IF(AND($C10="Efficiency", $O10="Acquisition/Rehab",$B10="Unrestricted",NOT($B10="N/A-CS"),NOT($M10="Common")),$E10,"")</f>
        <v/>
      </c>
      <c r="DV10" s="113" t="str">
        <f t="shared" ref="DV10:DV47" si="78">IF(AND($C10=1, $O10="Acquisition/Rehab",$B10="Unrestricted",NOT($B10="N/A-CS"),NOT($M10="Common")),$E10,"")</f>
        <v/>
      </c>
      <c r="DW10" s="113" t="str">
        <f t="shared" ref="DW10:DW47" si="79">IF(AND($C10=2, $O10="Acquisition/Rehab",$B10="Unrestricted",NOT($B10="N/A-CS"),NOT($M10="Common")),$E10,"")</f>
        <v/>
      </c>
      <c r="DX10" s="113" t="str">
        <f t="shared" ref="DX10:DX47" si="80">IF(AND($C10=3, $O10="Acquisition/Rehab",$B10="Unrestricted",NOT($B10="N/A-CS"),NOT($M10="Common")),$E10,"")</f>
        <v/>
      </c>
      <c r="DY10" s="113" t="str">
        <f t="shared" ref="DY10:DY47" si="81">IF(AND($C10=4, $O10="Acquisition/Rehab",$B10="Unrestricted",NOT($B10="N/A-CS"),NOT($M10="Common")),$E10,"")</f>
        <v/>
      </c>
      <c r="DZ10" s="113" t="str">
        <f t="shared" ref="DZ10:DZ47" si="82">IF(AND($C10="Efficiency", $O10="Acquisition/Rehab",$B10="N/A-CS",$M10="Common"),$E10,"")</f>
        <v/>
      </c>
      <c r="EA10" s="113" t="str">
        <f t="shared" ref="EA10:EA47" si="83">IF(AND($C10=1, $O10="Acquisition/Rehab",$B10="N/A-CS",$M10="Common"),$E10,"")</f>
        <v/>
      </c>
      <c r="EB10" s="113" t="str">
        <f t="shared" ref="EB10:EB47" si="84">IF(AND($C10=2, $O10="Acquisition/Rehab",$B10="N/A-CS",$M10="Common"),$E10,"")</f>
        <v/>
      </c>
      <c r="EC10" s="113" t="str">
        <f t="shared" ref="EC10:EC47" si="85">IF(AND($C10=3, $O10="Acquisition/Rehab",$B10="N/A-CS",$M10="Common"),$E10,"")</f>
        <v/>
      </c>
      <c r="ED10" s="113" t="str">
        <f t="shared" ref="ED10:ED47" si="86">IF(AND($C10=4, $O10="Acquisition/Rehab",$B10="N/A-CS",$M10="Common"),$E10,"")</f>
        <v/>
      </c>
      <c r="EE10" s="113" t="str">
        <f t="shared" ref="EE10:EE47" si="87">IF(AND($C10="Efficiency", $O10="Rehabilitation",NOT($B10="Unrestricted"),NOT($B10="NSP 120% AMI"),NOT($B10="N/A-CS"),NOT($M10="Common")),$E10,"")</f>
        <v/>
      </c>
      <c r="EF10" s="113" t="str">
        <f t="shared" ref="EF10:EF47" si="88">IF(AND($C10=1, $O10="Rehabilitation",NOT($B10="Unrestricted"),NOT($B10="NSP 120% AMI"),NOT($B10="N/A-CS"),NOT($M10="Common")),$E10,"")</f>
        <v/>
      </c>
      <c r="EG10" s="113" t="str">
        <f t="shared" ref="EG10:EG47" si="89">IF(AND($C10=2, $O10="Rehabilitation",NOT($B10="Unrestricted"),NOT($B10="NSP 120% AMI"),NOT($B10="N/A-CS"),NOT($M10="Common")),$E10,"")</f>
        <v/>
      </c>
      <c r="EH10" s="113" t="str">
        <f t="shared" ref="EH10:EH47" si="90">IF(AND($C10=3, $O10="Rehabilitation",NOT($B10="Unrestricted"),NOT($B10="NSP 120% AMI"),NOT($B10="N/A-CS"),NOT($M10="Common")),$E10,"")</f>
        <v/>
      </c>
      <c r="EI10" s="113" t="str">
        <f t="shared" ref="EI10:EI47" si="91">IF(AND($C10=4, $O10="Rehabilitation",NOT($B10="Unrestricted"),NOT($B10="NSP 120% AMI"),NOT($B10="N/A-CS"),NOT($M10="Common")),$E10,"")</f>
        <v/>
      </c>
      <c r="EJ10" s="113" t="str">
        <f t="shared" ref="EJ10:EJ47" si="92">IF(AND($C10="Efficiency", $O10="Rehabilitation",$B10="Unrestricted",NOT($B10="N/A-CS"),NOT($M10="Common")),$E10,"")</f>
        <v/>
      </c>
      <c r="EK10" s="113" t="str">
        <f t="shared" ref="EK10:EK47" si="93">IF(AND($C10=1, $O10="Rehabilitation",$B10="Unrestricted",NOT($B10="N/A-CS"),NOT($M10="Common")),$E10,"")</f>
        <v/>
      </c>
      <c r="EL10" s="113" t="str">
        <f t="shared" ref="EL10:EL47" si="94">IF(AND($C10=2, $O10="Rehabilitation",$B10="Unrestricted",NOT($B10="N/A-CS"),NOT($M10="Common")),$E10,"")</f>
        <v/>
      </c>
      <c r="EM10" s="113" t="str">
        <f t="shared" ref="EM10:EM47" si="95">IF(AND($C10=3, $O10="Rehabilitation",$B10="Unrestricted",NOT($B10="N/A-CS"),NOT($M10="Common")),$E10,"")</f>
        <v/>
      </c>
      <c r="EN10" s="113" t="str">
        <f t="shared" ref="EN10:EN47" si="96">IF(AND($C10=4, $O10="Rehabilitation",$B10="Unrestricted",NOT($B10="N/A-CS"),NOT($M10="Common")),$E10,"")</f>
        <v/>
      </c>
      <c r="EO10" s="113" t="str">
        <f t="shared" ref="EO10:EO47" si="97">IF(AND($C10="Efficiency", $O10="Rehabilitation",$B10="N/A-CS",$M10="Common"),$E10,"")</f>
        <v/>
      </c>
      <c r="EP10" s="113" t="str">
        <f t="shared" ref="EP10:EP47" si="98">IF(AND($C10=1, $O10="Rehabilitation",$B10="N/A-CS",$M10="Common"),$E10,"")</f>
        <v/>
      </c>
      <c r="EQ10" s="113" t="str">
        <f t="shared" ref="EQ10:EQ47" si="99">IF(AND($C10=2, $O10="Rehabilitation",$B10="N/A-CS",$M10="Common"),$E10,"")</f>
        <v/>
      </c>
      <c r="ER10" s="113" t="str">
        <f t="shared" ref="ER10:ER47" si="100">IF(AND($C10=3, $O10="Rehabilitation",$B10="N/A-CS",$M10="Common"),$E10,"")</f>
        <v/>
      </c>
      <c r="ES10" s="113" t="str">
        <f t="shared" ref="ES10:ES47" si="101">IF(AND($C10=4, $O10="Rehabilitation",$B10="N/A-CS",$M10="Common"),$E10,"")</f>
        <v/>
      </c>
      <c r="ET10" s="660" t="str">
        <f t="shared" ref="ET10:ET47" si="102">IF(AND($C10="Efficiency", NOT(OR($N10="SF Detached",$N10="Mfd Home",$N10="Duplex",$N10="Townhome"))),$E10,"")</f>
        <v/>
      </c>
      <c r="EU10" s="660">
        <f t="shared" ref="EU10:EU47" si="103">IF(AND($C10=1, NOT(OR($N10="SF Detached",$N10="Mfd Home",$N10="Duplex",$N10="Townhome"))),$E10,"")</f>
        <v>5</v>
      </c>
      <c r="EV10" s="660" t="str">
        <f t="shared" ref="EV10:EV47" si="104">IF(AND($C10=2, NOT(OR($N10="SF Detached",$N10="Mfd Home",$N10="Duplex",$N10="Townhome"))),$E10,"")</f>
        <v/>
      </c>
      <c r="EW10" s="660" t="str">
        <f t="shared" ref="EW10:EW47" si="105">IF(AND($C10=3, NOT(OR($N10="SF Detached",$N10="Mfd Home",$N10="Duplex",$N10="Townhome"))),$E10,"")</f>
        <v/>
      </c>
      <c r="EX10" s="660" t="str">
        <f t="shared" ref="EX10:EX47" si="106">IF(AND($C10=4, NOT(OR($N10="SF Detached",$N10="Mfd Home",$N10="Duplex",$N10="Townhome"))),$E10,"")</f>
        <v/>
      </c>
      <c r="EY10" s="660" t="str">
        <f t="shared" ref="EY10:EY47" si="107">IF(AND($C10="Efficiency", $N10="SF Detached"),$E10,"")</f>
        <v/>
      </c>
      <c r="EZ10" s="660" t="str">
        <f t="shared" ref="EZ10:EZ47" si="108">IF(AND($C10=1, $N10="SF Detached"),$E10,"")</f>
        <v/>
      </c>
      <c r="FA10" s="660" t="str">
        <f t="shared" ref="FA10:FA47" si="109">IF(AND($C10=2, $N10="SF Detached"),$E10,"")</f>
        <v/>
      </c>
      <c r="FB10" s="660" t="str">
        <f t="shared" ref="FB10:FB47" si="110">IF(AND($C10=3, $N10="SF Detached"),$E10,"")</f>
        <v/>
      </c>
      <c r="FC10" s="660" t="str">
        <f t="shared" ref="FC10:FC47" si="111">IF(AND($C10=4, $N10="SF Detached"),$E10,"")</f>
        <v/>
      </c>
      <c r="FD10" s="660" t="str">
        <f t="shared" ref="FD10:FD47" si="112">IF(AND($C10="Efficiency", $N10="MH"),$E10,"")</f>
        <v/>
      </c>
      <c r="FE10" s="660" t="str">
        <f t="shared" ref="FE10:FE47" si="113">IF(AND($C10=1, $N10="MH"),$E10,"")</f>
        <v/>
      </c>
      <c r="FF10" s="660" t="str">
        <f t="shared" ref="FF10:FF47" si="114">IF(AND($C10=2, $N10="MH"),$E10,"")</f>
        <v/>
      </c>
      <c r="FG10" s="660" t="str">
        <f t="shared" ref="FG10:FG47" si="115">IF(AND($C10=3, $N10="MH"),$E10,"")</f>
        <v/>
      </c>
      <c r="FH10" s="660" t="str">
        <f t="shared" ref="FH10:FH47" si="116">IF(AND($C10=4, $N10="MH"),$E10,"")</f>
        <v/>
      </c>
      <c r="FI10" s="660" t="str">
        <f t="shared" ref="FI10:FI47" si="117">IF(AND($C10="Efficiency", $N10="Duplex"),$E10,"")</f>
        <v/>
      </c>
      <c r="FJ10" s="660" t="str">
        <f t="shared" ref="FJ10:FJ47" si="118">IF(AND($C10=1, $N10="Duplex"),$E10,"")</f>
        <v/>
      </c>
      <c r="FK10" s="660" t="str">
        <f t="shared" ref="FK10:FK47" si="119">IF(AND($C10=2, $N10="Duplex"),$E10,"")</f>
        <v/>
      </c>
      <c r="FL10" s="660" t="str">
        <f t="shared" ref="FL10:FL47" si="120">IF(AND($C10=3, $N10="Duplex"),$E10,"")</f>
        <v/>
      </c>
      <c r="FM10" s="660" t="str">
        <f t="shared" ref="FM10:FM47" si="121">IF(AND($C10=4, $N10="Duplex"),$E10,"")</f>
        <v/>
      </c>
      <c r="FN10" s="660" t="str">
        <f t="shared" ref="FN10:FN47" si="122">IF(AND($C10="Efficiency", $N10="Townhome"),$E10,"")</f>
        <v/>
      </c>
      <c r="FO10" s="660" t="str">
        <f t="shared" ref="FO10:FO47" si="123">IF(AND($C10=1, $N10="Townhome"),$E10,"")</f>
        <v/>
      </c>
      <c r="FP10" s="660" t="str">
        <f t="shared" ref="FP10:FP47" si="124">IF(AND($C10=2, $N10="Townhome"),$E10,"")</f>
        <v/>
      </c>
      <c r="FQ10" s="660" t="str">
        <f t="shared" ref="FQ10:FQ47" si="125">IF(AND($C10=3, $N10="Townhome"),$E10,"")</f>
        <v/>
      </c>
      <c r="FR10" s="660" t="str">
        <f t="shared" ref="FR10:FR47" si="126">IF(AND($C10=4, $N10="Townhome"),$E10,"")</f>
        <v/>
      </c>
      <c r="FS10" s="660" t="str">
        <f t="shared" ref="FS10:FS47" si="127">IF(AND($C10="Efficiency", $N10="1-Story"),$E10,"")</f>
        <v/>
      </c>
      <c r="FT10" s="660" t="str">
        <f t="shared" ref="FT10:FT47" si="128">IF(AND($C10=1, $N10="1-Story"),$E10,"")</f>
        <v/>
      </c>
      <c r="FU10" s="660" t="str">
        <f t="shared" ref="FU10:FU47" si="129">IF(AND($C10=2, $N10="1-Story"),$E10,"")</f>
        <v/>
      </c>
      <c r="FV10" s="660" t="str">
        <f t="shared" ref="FV10:FV47" si="130">IF(AND($C10=3, $N10="1-Story"),$E10,"")</f>
        <v/>
      </c>
      <c r="FW10" s="660" t="str">
        <f t="shared" ref="FW10:FW47" si="131">IF(AND($C10=4, $N10="1-Story"),$E10,"")</f>
        <v/>
      </c>
      <c r="FX10" s="660" t="str">
        <f t="shared" ref="FX10:FX47" si="132">IF(AND($C10="Efficiency", $N10="2-Story"),$E10,"")</f>
        <v/>
      </c>
      <c r="FY10" s="660">
        <f t="shared" ref="FY10:FY47" si="133">IF(AND($C10=1, $N10="2-Story"),$E10,"")</f>
        <v>5</v>
      </c>
      <c r="FZ10" s="660" t="str">
        <f t="shared" ref="FZ10:FZ47" si="134">IF(AND($C10=2, $N10="2-Story"),$E10,"")</f>
        <v/>
      </c>
      <c r="GA10" s="660" t="str">
        <f t="shared" ref="GA10:GA47" si="135">IF(AND($C10=3, $N10="2-Story"),$E10,"")</f>
        <v/>
      </c>
      <c r="GB10" s="660" t="str">
        <f t="shared" ref="GB10:GB47" si="136">IF(AND($C10=4, $N10="2-Story"),$E10,"")</f>
        <v/>
      </c>
      <c r="GC10" s="660" t="str">
        <f t="shared" ref="GC10:GC47" si="137">IF(AND($C10="Efficiency", $N10="2-Story Walkup"),$E10,"")</f>
        <v/>
      </c>
      <c r="GD10" s="660" t="str">
        <f t="shared" ref="GD10:GD47" si="138">IF(AND($C10=1, $N10="2-Story Walkup"),$E10,"")</f>
        <v/>
      </c>
      <c r="GE10" s="660" t="str">
        <f t="shared" ref="GE10:GE47" si="139">IF(AND($C10=2, $N10="2-Story Walkup"),$E10,"")</f>
        <v/>
      </c>
      <c r="GF10" s="660" t="str">
        <f t="shared" ref="GF10:GF47" si="140">IF(AND($C10=3, $N10="2-Story Walkup"),$E10,"")</f>
        <v/>
      </c>
      <c r="GG10" s="660" t="str">
        <f t="shared" ref="GG10:GG47" si="141">IF(AND($C10=4, $N10="2-Story Walkup"),$E10,"")</f>
        <v/>
      </c>
      <c r="GH10" s="660" t="str">
        <f t="shared" ref="GH10:GH47" si="142">IF(AND($C10="Efficiency", $N10="3+ Story"),$E10,"")</f>
        <v/>
      </c>
      <c r="GI10" s="660" t="str">
        <f t="shared" ref="GI10:GI47" si="143">IF(AND($C10=1, $N10="3+ Story"),$E10,"")</f>
        <v/>
      </c>
      <c r="GJ10" s="660" t="str">
        <f t="shared" ref="GJ10:GJ47" si="144">IF(AND($C10=2, $N10="3+ Story"),$E10,"")</f>
        <v/>
      </c>
      <c r="GK10" s="660" t="str">
        <f t="shared" ref="GK10:GK47" si="145">IF(AND($C10=3, $N10="3+ Story"),$E10,"")</f>
        <v/>
      </c>
      <c r="GL10" s="660" t="str">
        <f t="shared" ref="GL10:GL47" si="146">IF(AND($C10=4, $N10="3+ Story"),$E10,"")</f>
        <v/>
      </c>
      <c r="GM10" s="661" t="str">
        <f t="shared" ref="GM10:GM47" si="147">IF(AND($B10="NSP 120% AMI",$C10="Efficiency", NOT($M10="Common")),$E10,"")</f>
        <v/>
      </c>
      <c r="GN10" s="661" t="str">
        <f t="shared" ref="GN10:GN47" si="148">IF(AND($B10="NSP 120% AMI",$C10=1,NOT($M10="Common")),$E10,"")</f>
        <v/>
      </c>
      <c r="GO10" s="661" t="str">
        <f t="shared" ref="GO10:GO47" si="149">IF(AND($B10="NSP 120% AMI",$C10=2,NOT($M10="Common")),$E10,"")</f>
        <v/>
      </c>
      <c r="GP10" s="661" t="str">
        <f t="shared" ref="GP10:GP47" si="150">IF(AND($B10="NSP 120% AMI",$C10=3,NOT($M10="Common")),$E10,"")</f>
        <v/>
      </c>
      <c r="GQ10" s="661" t="str">
        <f t="shared" ref="GQ10:GQ47" si="151">IF(AND($B10="NSP 120% AMI",$C10=4,NOT($M10="Common")),$E10,"")</f>
        <v/>
      </c>
      <c r="GR10" s="113" t="str">
        <f t="shared" ref="GR10:GR47" si="152">IF(AND(C10="Efficiency",B10="NSP 120% AMI",NOT(M10="Common")),E10*F10,"")</f>
        <v/>
      </c>
      <c r="GS10" s="113" t="str">
        <f t="shared" ref="GS10:GS47" si="153">IF(AND(C10=1,B10="NSP 120% AMI",NOT(M10="Common")),E10*F10,"")</f>
        <v/>
      </c>
      <c r="GT10" s="113" t="str">
        <f t="shared" ref="GT10:GT47" si="154">IF(AND(C10=2,B10="NSP 120% AMI",NOT(M10="Common")),E10*F10,"")</f>
        <v/>
      </c>
      <c r="GU10" s="113" t="str">
        <f t="shared" ref="GU10:GU47" si="155">IF(AND(C10=3,B10="NSP 120% AMI",NOT(M10="Common")),E10*F10,"")</f>
        <v/>
      </c>
      <c r="GV10" s="113" t="str">
        <f t="shared" ref="GV10:GV47" si="156">IF(AND(C10=4,B10="NSP 120% AMI",NOT(M10="Common")),E10*F10,"")</f>
        <v/>
      </c>
      <c r="GW10" s="113" t="str">
        <f t="shared" ref="GW10:GW47" si="157">IF(AND($C10="Efficiency", $O10="New Construction",$B10="NSP 120% AMI",NOT($M10="Common")),$E10,"")</f>
        <v/>
      </c>
      <c r="GX10" s="113" t="str">
        <f t="shared" ref="GX10:GX47" si="158">IF(AND($C10=1, $O10="New Construction",$B10="NSP 120% AMI",NOT($M10="Common")),$E10,"")</f>
        <v/>
      </c>
      <c r="GY10" s="113" t="str">
        <f t="shared" ref="GY10:GY47" si="159">IF(AND($C10=2, $O10="New Construction",$B10="NSP 120% AMI",NOT($M10="Common")),$E10,"")</f>
        <v/>
      </c>
      <c r="GZ10" s="113" t="str">
        <f t="shared" ref="GZ10:GZ47" si="160">IF(AND($C10=3, $O10="New Construction",$B10="NSP 120% AMI",NOT($M10="Common")),$E10,"")</f>
        <v/>
      </c>
      <c r="HA10" s="113" t="str">
        <f t="shared" ref="HA10:HA47" si="161">IF(AND($C10=4, $O10="New Construction",$B10="NSP 120% AMI",NOT($M10="Common")),$E10,"")</f>
        <v/>
      </c>
      <c r="HB10" s="113" t="str">
        <f t="shared" ref="HB10:HB47" si="162">IF(AND($C10="Efficiency", $O10="Acquisition/Rehab",$B10="NSP 120% AMI",NOT($M10="Common")),$E10,"")</f>
        <v/>
      </c>
      <c r="HC10" s="113" t="str">
        <f t="shared" ref="HC10:HC47" si="163">IF(AND($C10=1, $O10="Acquisition/Rehab",$B10="NSP 120% AMI",NOT($M10="Common")),$E10,"")</f>
        <v/>
      </c>
      <c r="HD10" s="113" t="str">
        <f t="shared" ref="HD10:HD47" si="164">IF(AND($C10=2, $O10="Acquisition/Rehab",$B10="NSP 120% AMI",NOT($M10="Common")),$E10,"")</f>
        <v/>
      </c>
      <c r="HE10" s="113" t="str">
        <f t="shared" ref="HE10:HE47" si="165">IF(AND($C10=3, $O10="Acquisition/Rehab",$B10="NSP 120% AMI",NOT($M10="Common")),$E10,"")</f>
        <v/>
      </c>
      <c r="HF10" s="113" t="str">
        <f t="shared" ref="HF10:HF47" si="166">IF(AND($C10=4, $O10="Acquisition/Rehab",$B10="NSP 120% AMI",NOT($M10="Common")),$E10,"")</f>
        <v/>
      </c>
      <c r="HG10" s="113" t="str">
        <f t="shared" ref="HG10:HG47" si="167">IF(AND($C10="Efficiency", $O10="Rehabilitation",$B10="NSP 120% AMI",NOT($M10="Common")),$E10,"")</f>
        <v/>
      </c>
      <c r="HH10" s="113" t="str">
        <f t="shared" ref="HH10:HH47" si="168">IF(AND($C10=1, $O10="Rehabilitation",$B10="NSP 120% AMI",NOT($M10="Common")),$E10,"")</f>
        <v/>
      </c>
      <c r="HI10" s="113" t="str">
        <f t="shared" ref="HI10:HI47" si="169">IF(AND($C10=2, $O10="Rehabilitation",$B10="NSP 120% AMI",NOT($M10="Common")),$E10,"")</f>
        <v/>
      </c>
      <c r="HJ10" s="113" t="str">
        <f t="shared" ref="HJ10:HJ47" si="170">IF(AND($C10=3, $O10="Rehabilitation",$B10="NSP 120% AMI",NOT($M10="Common")),$E10,"")</f>
        <v/>
      </c>
      <c r="HK10" s="113" t="str">
        <f t="shared" ref="HK10:HK47" si="171">IF(AND($C10=4, $O10="Rehabilitation",$B10="NSP 120% AMI",NOT($M10="Common")),$E10,"")</f>
        <v/>
      </c>
    </row>
    <row r="11" spans="1:219" ht="13.2" customHeight="1">
      <c r="A11" s="146" t="str">
        <f t="shared" ref="A11:A47" si="172">IF(AND(E11&gt;0,OR(B11="",C11="",D11="",F11="",G11="", H11="",M11="",N11="",O11="")),1,"")</f>
        <v/>
      </c>
      <c r="B11" s="836" t="s">
        <v>1790</v>
      </c>
      <c r="C11" s="837">
        <v>1</v>
      </c>
      <c r="D11" s="838">
        <v>1</v>
      </c>
      <c r="E11" s="839">
        <v>1</v>
      </c>
      <c r="F11" s="839">
        <v>692</v>
      </c>
      <c r="G11" s="839">
        <v>589</v>
      </c>
      <c r="H11" s="839">
        <v>497</v>
      </c>
      <c r="I11" s="839">
        <v>110</v>
      </c>
      <c r="J11" s="840"/>
      <c r="K11" s="227">
        <f t="shared" ref="K11:K27" si="173">MAX(0,H11-I11)</f>
        <v>387</v>
      </c>
      <c r="L11" s="227">
        <f t="shared" si="0"/>
        <v>387</v>
      </c>
      <c r="M11" s="841" t="s">
        <v>3919</v>
      </c>
      <c r="N11" s="841" t="s">
        <v>3985</v>
      </c>
      <c r="O11" s="841" t="s">
        <v>3986</v>
      </c>
      <c r="P11" s="581">
        <f t="shared" si="1"/>
        <v>19880</v>
      </c>
      <c r="Q11" s="582">
        <f>IF(H11="","",P11/($P$6*VLOOKUP(C11,'DCA Underwriting Assumptions'!$J$77:$K$82,2,FALSE)))</f>
        <v>0.51872146118721463</v>
      </c>
      <c r="R11" s="739"/>
      <c r="S11" s="659"/>
      <c r="T11" s="113" t="str">
        <f t="shared" si="2"/>
        <v/>
      </c>
      <c r="U11" s="113">
        <f t="shared" si="3"/>
        <v>1</v>
      </c>
      <c r="V11" s="113" t="str">
        <f t="shared" si="4"/>
        <v/>
      </c>
      <c r="W11" s="113" t="str">
        <f t="shared" si="5"/>
        <v/>
      </c>
      <c r="X11" s="113" t="str">
        <f t="shared" si="6"/>
        <v/>
      </c>
      <c r="Y11" s="113" t="str">
        <f t="shared" si="7"/>
        <v/>
      </c>
      <c r="Z11" s="113" t="str">
        <f t="shared" si="8"/>
        <v/>
      </c>
      <c r="AA11" s="113" t="str">
        <f t="shared" si="9"/>
        <v/>
      </c>
      <c r="AB11" s="113" t="str">
        <f t="shared" si="10"/>
        <v/>
      </c>
      <c r="AC11" s="113" t="str">
        <f t="shared" si="11"/>
        <v/>
      </c>
      <c r="AD11" s="113" t="str">
        <f t="shared" si="12"/>
        <v/>
      </c>
      <c r="AE11" s="113" t="str">
        <f t="shared" si="13"/>
        <v/>
      </c>
      <c r="AF11" s="113" t="str">
        <f t="shared" si="14"/>
        <v/>
      </c>
      <c r="AG11" s="113" t="str">
        <f t="shared" si="15"/>
        <v/>
      </c>
      <c r="AH11" s="113" t="str">
        <f t="shared" si="16"/>
        <v/>
      </c>
      <c r="AI11" s="113" t="str">
        <f t="shared" si="17"/>
        <v/>
      </c>
      <c r="AJ11" s="113" t="str">
        <f t="shared" si="18"/>
        <v/>
      </c>
      <c r="AK11" s="113" t="str">
        <f t="shared" si="19"/>
        <v/>
      </c>
      <c r="AL11" s="113" t="str">
        <f t="shared" si="20"/>
        <v/>
      </c>
      <c r="AM11" s="113" t="str">
        <f t="shared" si="21"/>
        <v/>
      </c>
      <c r="AN11" s="113" t="str">
        <f t="shared" ref="AN11:AN47" si="174">IF(OR(AND($C11="Efficiency",NOT($J11=""),NOT($J11="PHA Oper Sub"),$B11="30% AMI",NOT($M11="Common")),AND($C11="Efficiency",NOT($J11=""),NOT($J11="PHA Oper Sub"),$B11="HOME 30% AMI",NOT($M11="Common"))),$E11,"")</f>
        <v/>
      </c>
      <c r="AO11" s="113" t="str">
        <f t="shared" ref="AO11:AO47" si="175">IF(OR(AND($C11=1,NOT($J11=""),NOT($J11="PHA Oper Sub"),$B11="30% AMI",NOT($M11="Common")),AND($C11=1,NOT($J11=""),NOT($J11="PHA Oper Sub"),$B11="HOME 30% AMI",NOT($M11="Common"))),$E11,"")</f>
        <v/>
      </c>
      <c r="AP11" s="113" t="str">
        <f t="shared" ref="AP11:AP47" si="176">IF(OR(AND($C11=2,NOT($J11=""),NOT($J11="PHA Oper Sub"),$B11="30% AMI",NOT($M11="Common")),AND($C11=2,NOT($J11=""),NOT($J11="PHA Oper Sub"),$B11="HOME 30% AMI",NOT($M11="Common"))),$E11,"")</f>
        <v/>
      </c>
      <c r="AQ11" s="113" t="str">
        <f t="shared" ref="AQ11:AQ47" si="177">IF(OR(AND($C11=3,NOT($J11=""),NOT($J11="PHA Oper Sub"),$B11="30% AMI",NOT($M11="Common")),AND($C11=3,NOT($J11=""),NOT($J11="PHA Oper Sub"),$B11="HOME 30% AMI",NOT($M11="Common"))),$E11,"")</f>
        <v/>
      </c>
      <c r="AR11" s="113" t="str">
        <f t="shared" ref="AR11:AR47" si="178">IF(OR(AND($C11=4,NOT($J11=""),NOT($J11="PHA Oper Sub"),$B11="30% AMI",NOT($M11="Common")),AND($C11=4,NOT($J11=""),NOT($J11="PHA Oper Sub"),$B11="HOME 30% AMI",NOT($M11="Common"))),$E11,"")</f>
        <v/>
      </c>
      <c r="AS11" s="113" t="str">
        <f t="shared" ref="AS11:AS47" si="179">IF(OR(AND($C11="Efficiency",NOT($J11=""),NOT($J11="PHA Oper Sub"),NOT($J11=0),$B11="50% AMI",NOT($M11="Common")),AND($C11="Efficiency",NOT($J11=""),NOT($J11=0),NOT($J11="PHA Oper Sub"),$B11="HOME 50% AMI",NOT($M11="Common"))),$E11,"")</f>
        <v/>
      </c>
      <c r="AT11" s="113" t="str">
        <f t="shared" ref="AT11:AT47" si="180">IF(OR(AND($C11=1,NOT($J11=""),NOT($J11=0),NOT($J11="PHA Oper Sub"),$B11="50% AMI",NOT($M11="Common")),AND($C11=1,NOT($J11=""),NOT($J11=0),NOT($J11="PHA Oper Sub"),$B11="HOME 50% AMI",NOT($M11="Common"))),$E11,"")</f>
        <v/>
      </c>
      <c r="AU11" s="113" t="str">
        <f t="shared" ref="AU11:AU47" si="181">IF(OR(AND($C11=2,NOT($J11=""),NOT($J11=0),NOT($J11="PHA Oper Sub"),$B11="50% AMI",NOT($M11="Common")),AND($C11=2,NOT($J11=""),NOT($J11=0),NOT($J11="PHA Oper Sub"),$B11="HOME 50% AMI",NOT($M11="Common"))),$E11,"")</f>
        <v/>
      </c>
      <c r="AV11" s="113" t="str">
        <f t="shared" ref="AV11:AV47" si="182">IF(OR(AND($C11=3,NOT($J11=""),NOT($J11=0),NOT($J11="PHA Oper Sub"),$B11="50% AMI",NOT($M11="Common")),AND($C11=3,NOT($J11=""),NOT($J11=0),NOT($J11="PHA Oper Sub"),$B11="HOME 50% AMI",NOT($M11="Common"))),$E11,"")</f>
        <v/>
      </c>
      <c r="AW11" s="113" t="str">
        <f t="shared" ref="AW11:AW47" si="183">IF(OR(AND($C11=4,NOT($J11=""),NOT($J11=0),NOT($J11="PHA Oper Sub"),$B11="50% AMI",NOT($M11="Common")),AND($C11=4,NOT($J11=""),NOT($J11=0),NOT($J11="PHA Oper Sub"),$B11="HOME 50% AMI",NOT($M11="Common"))),$E11,"")</f>
        <v/>
      </c>
      <c r="AX11" s="113" t="str">
        <f t="shared" ref="AX11:AX47" si="184">IF(OR(AND($C11="Efficiency",NOT($J11=""),NOT($J11=0),NOT($J11="PHA Oper Sub"),$B11="60% AMI",NOT($M11="Common")),AND($C11="Efficiency",NOT($J11=""),NOT($J11=0),NOT($J11="PHA Oper Sub"),$B11="HOME 60% AMI",NOT($M11="Common"))),$E11,"")</f>
        <v/>
      </c>
      <c r="AY11" s="113" t="str">
        <f t="shared" ref="AY11:AY47" si="185">IF(OR(AND($C11=1,NOT($J11=""),NOT($J11=0),NOT($J11="PHA Oper Sub"),$B11="60% AMI",NOT($M11="Common")),AND($C11=1,NOT($J11=""),NOT($J11=0),NOT($J11="PHA Oper Sub"),$B11="HOME 60% AMI",NOT($M11="Common"))),$E11,"")</f>
        <v/>
      </c>
      <c r="AZ11" s="113" t="str">
        <f t="shared" ref="AZ11:AZ47" si="186">IF(OR(AND($C11=2,NOT($J11=""),NOT($J11=0),NOT($J11="PHA Oper Sub"),$B11="60% AMI",NOT($M11="Common")),AND($C11=2,NOT($J11=""),NOT($J11=0),NOT($J11="PHA Oper Sub"),$B11="HOME 60% AMI",NOT($M11="Common"))),$E11,"")</f>
        <v/>
      </c>
      <c r="BA11" s="113" t="str">
        <f t="shared" ref="BA11:BA47" si="187">IF(OR(AND($C11=3,NOT($J11=""),NOT($J11=0),NOT($J11="PHA Oper Sub"),$B11="60% AMI",NOT($M11="Common")),AND($C11=3,NOT($J11=""),NOT($J11=0),NOT($J11="PHA Oper Sub"),$B11="HOME 60% AMI",NOT($M11="Common"))),$E11,"")</f>
        <v/>
      </c>
      <c r="BB11" s="113" t="str">
        <f t="shared" ref="BB11:BB47" si="188">IF(OR(AND($C11=4,NOT($J11=""),NOT($J11=0),NOT($J11="PHA Oper Sub"),$B11="60% AMI",NOT($M11="Common")),AND($C11=4,NOT($J11=""),NOT($J11=0),NOT($J11="PHA Oper Sub"),$B11="HOME 60% AMI",NOT($M11="Common"))),$E11,"")</f>
        <v/>
      </c>
      <c r="BC11" s="113" t="str">
        <f t="shared" ref="BC11:BC47" si="189">IF(OR(AND($C11="Efficiency",$J11="PHA Oper Sub",$B11="30% AMI",NOT($M11="Common")),AND($C11="Efficiency",$J11="PHA Oper Sub",$B11="HOME 30% AMI",NOT($M11="Common"))),$E11,"")</f>
        <v/>
      </c>
      <c r="BD11" s="113" t="str">
        <f t="shared" ref="BD11:BD47" si="190">IF(OR(AND($C11=1,$J11="PHA Oper Sub",$B11="30% AMI",NOT($M11="Common")),AND($C11=1,$J11="PHA Oper Sub",$B11="HOME 30% AMI",NOT($M11="Common"))),$E11,"")</f>
        <v/>
      </c>
      <c r="BE11" s="113" t="str">
        <f t="shared" ref="BE11:BE47" si="191">IF(OR(AND($C11=2,$J11="PHA Oper Sub",$B11="30% AMI",NOT($M11="Common")),AND($C11=2,$J11="PHA Oper Sub",$B11="HOME 30% AMI",NOT($M11="Common"))),$E11,"")</f>
        <v/>
      </c>
      <c r="BF11" s="113" t="str">
        <f t="shared" ref="BF11:BF47" si="192">IF(OR(AND($C11=3,$J11="PHA Oper Sub",$B11="30% AMI",NOT($M11="Common")),AND($C11=3,$J11="PHA Oper Sub",$B11="HOME 30% AMI",NOT($M11="Common"))),$E11,"")</f>
        <v/>
      </c>
      <c r="BG11" s="113" t="str">
        <f t="shared" ref="BG11:BG47" si="193">IF(OR(AND($C11=4,$J11="PHA Oper Sub",$B11="30% AMI",NOT($M11="Common")),AND($C11=4,$J11="PHA Oper Sub",$B11="HOME 30% AMI",NOT($M11="Common"))),$E11,"")</f>
        <v/>
      </c>
      <c r="BH11" s="113" t="str">
        <f t="shared" ref="BH11:BH47" si="194">IF(OR(AND($C11="Efficiency",$J11="PHA Oper Sub",$B11="50% AMI",NOT($M11="Common")),AND($C11="Efficiency",$J11="PHA Oper Sub",$B11="HOME 50% AMI",NOT($M11="Common"))),$E11,"")</f>
        <v/>
      </c>
      <c r="BI11" s="113" t="str">
        <f t="shared" ref="BI11:BI47" si="195">IF(OR(AND($C11=1,$J11="PHA Oper Sub",,$B11="50% AMI",NOT($M11="Common")),AND($C11=1,$J11="PHA Oper Sub",$B11="HOME 50% AMI",NOT($M11="Common"))),$E11,"")</f>
        <v/>
      </c>
      <c r="BJ11" s="113" t="str">
        <f t="shared" ref="BJ11:BJ47" si="196">IF(OR(AND($C11=2,$J11="PHA Oper Sub",$B11="50% AMI",NOT($M11="Common")),AND($C11=2,$J11="PHA Oper Sub",$B11="HOME 50% AMI",NOT($M11="Common"))),$E11,"")</f>
        <v/>
      </c>
      <c r="BK11" s="113" t="str">
        <f t="shared" ref="BK11:BK47" si="197">IF(OR(AND($C11=3,$J11="PHA Oper Sub",$B11="50% AMI",NOT($M11="Common")),AND($C11=3,$J11="PHA Oper Sub",$B11="HOME 50% AMI",NOT($M11="Common"))),$E11,"")</f>
        <v/>
      </c>
      <c r="BL11" s="113" t="str">
        <f t="shared" ref="BL11:BL47" si="198">IF(OR(AND($C11=4,$J11="PHA Oper Sub",$B11="50% AMI",NOT($M11="Common")),AND($C11=4,$J11="PHA Oper Sub",$B11="HOME 50% AMI",NOT($M11="Common"))),$E11,"")</f>
        <v/>
      </c>
      <c r="BM11" s="113" t="str">
        <f t="shared" ref="BM11:BM47" si="199">IF(OR(AND($C11="Efficiency",$J11="PHA Oper Sub",$B11="60% AMI",NOT($M11="Common")),AND($C11="Efficiency",$J11="PHA Oper Sub",$B11="HOME 60% AMI",NOT($M11="Common"))),$E11,"")</f>
        <v/>
      </c>
      <c r="BN11" s="113" t="str">
        <f t="shared" ref="BN11:BN47" si="200">IF(OR(AND($C11=1,$J11="PHA Oper Sub",$B11="60% AMI",NOT($M11="Common")),AND($C11=1,$J11="PHA Oper Sub",$B11="HOME 60% AMI",NOT($M11="Common"))),$E11,"")</f>
        <v/>
      </c>
      <c r="BO11" s="113" t="str">
        <f t="shared" ref="BO11:BO47" si="201">IF(OR(AND($C11=2,$J11="PHA Oper Sub",$B11="60% AMI",NOT($M11="Common")),AND($C11=2,$J11="PHA Oper Sub",$B11="HOME 60% AMI",NOT($M11="Common"))),$E11,"")</f>
        <v/>
      </c>
      <c r="BP11" s="113" t="str">
        <f t="shared" ref="BP11:BP47" si="202">IF(OR(AND($C11=3,$J11="PHA Oper Sub",$B11="60% AMI",NOT($M11="Common")),AND($C11=3,$J11="PHA Oper Sub",$B11="HOME 60% AMI",NOT($M11="Common"))),$E11,"")</f>
        <v/>
      </c>
      <c r="BQ11" s="113" t="str">
        <f t="shared" ref="BQ11:BQ47" si="203">IF(OR(AND($C11=4,$J11="PHA Oper Sub",$B11="60% AMI",NOT($M11="Common")),AND($C11=4,$J11="PHA Oper Sub",$B11="HOME 60% AMI",NOT($M11="Common"))),$E11,"")</f>
        <v/>
      </c>
      <c r="BR11" s="113" t="str">
        <f t="shared" si="22"/>
        <v/>
      </c>
      <c r="BS11" s="113" t="str">
        <f t="shared" si="23"/>
        <v/>
      </c>
      <c r="BT11" s="113" t="str">
        <f t="shared" si="24"/>
        <v/>
      </c>
      <c r="BU11" s="113" t="str">
        <f t="shared" si="25"/>
        <v/>
      </c>
      <c r="BV11" s="113" t="str">
        <f t="shared" si="26"/>
        <v/>
      </c>
      <c r="BW11" s="113" t="str">
        <f t="shared" si="27"/>
        <v/>
      </c>
      <c r="BX11" s="113">
        <f t="shared" si="28"/>
        <v>692</v>
      </c>
      <c r="BY11" s="113" t="str">
        <f t="shared" si="29"/>
        <v/>
      </c>
      <c r="BZ11" s="113" t="str">
        <f t="shared" si="30"/>
        <v/>
      </c>
      <c r="CA11" s="113" t="str">
        <f t="shared" si="31"/>
        <v/>
      </c>
      <c r="CB11" s="113" t="str">
        <f t="shared" si="32"/>
        <v/>
      </c>
      <c r="CC11" s="113" t="str">
        <f t="shared" si="33"/>
        <v/>
      </c>
      <c r="CD11" s="113" t="str">
        <f t="shared" si="34"/>
        <v/>
      </c>
      <c r="CE11" s="113" t="str">
        <f t="shared" si="35"/>
        <v/>
      </c>
      <c r="CF11" s="113" t="str">
        <f t="shared" si="36"/>
        <v/>
      </c>
      <c r="CG11" s="113" t="str">
        <f t="shared" si="37"/>
        <v/>
      </c>
      <c r="CH11" s="113" t="str">
        <f t="shared" si="38"/>
        <v/>
      </c>
      <c r="CI11" s="113" t="str">
        <f t="shared" si="39"/>
        <v/>
      </c>
      <c r="CJ11" s="113" t="str">
        <f t="shared" si="40"/>
        <v/>
      </c>
      <c r="CK11" s="113" t="str">
        <f t="shared" si="41"/>
        <v/>
      </c>
      <c r="CL11" s="113" t="str">
        <f t="shared" si="42"/>
        <v/>
      </c>
      <c r="CM11" s="113" t="str">
        <f t="shared" si="43"/>
        <v/>
      </c>
      <c r="CN11" s="113" t="str">
        <f t="shared" si="44"/>
        <v/>
      </c>
      <c r="CO11" s="113" t="str">
        <f t="shared" si="45"/>
        <v/>
      </c>
      <c r="CP11" s="113" t="str">
        <f t="shared" si="46"/>
        <v/>
      </c>
      <c r="CQ11" s="113" t="str">
        <f t="shared" si="47"/>
        <v/>
      </c>
      <c r="CR11" s="113" t="str">
        <f t="shared" si="48"/>
        <v/>
      </c>
      <c r="CS11" s="113" t="str">
        <f t="shared" si="49"/>
        <v/>
      </c>
      <c r="CT11" s="113" t="str">
        <f t="shared" si="50"/>
        <v/>
      </c>
      <c r="CU11" s="113" t="str">
        <f t="shared" si="51"/>
        <v/>
      </c>
      <c r="CV11" s="113" t="str">
        <f t="shared" si="52"/>
        <v/>
      </c>
      <c r="CW11" s="113" t="str">
        <f t="shared" si="53"/>
        <v/>
      </c>
      <c r="CX11" s="113" t="str">
        <f t="shared" si="54"/>
        <v/>
      </c>
      <c r="CY11" s="113" t="str">
        <f t="shared" si="55"/>
        <v/>
      </c>
      <c r="CZ11" s="113" t="str">
        <f t="shared" si="56"/>
        <v/>
      </c>
      <c r="DA11" s="113" t="str">
        <f t="shared" si="57"/>
        <v/>
      </c>
      <c r="DB11" s="113" t="str">
        <f t="shared" si="58"/>
        <v/>
      </c>
      <c r="DC11" s="113" t="str">
        <f t="shared" si="59"/>
        <v/>
      </c>
      <c r="DD11" s="113" t="str">
        <f t="shared" si="60"/>
        <v/>
      </c>
      <c r="DE11" s="113" t="str">
        <f t="shared" si="61"/>
        <v/>
      </c>
      <c r="DF11" s="113" t="str">
        <f t="shared" si="62"/>
        <v/>
      </c>
      <c r="DG11" s="113" t="str">
        <f t="shared" si="63"/>
        <v/>
      </c>
      <c r="DH11" s="113" t="str">
        <f t="shared" si="64"/>
        <v/>
      </c>
      <c r="DI11" s="113" t="str">
        <f t="shared" si="65"/>
        <v/>
      </c>
      <c r="DJ11" s="113" t="str">
        <f t="shared" si="66"/>
        <v/>
      </c>
      <c r="DK11" s="113" t="str">
        <f t="shared" si="67"/>
        <v/>
      </c>
      <c r="DL11" s="113" t="str">
        <f t="shared" si="68"/>
        <v/>
      </c>
      <c r="DM11" s="113" t="str">
        <f t="shared" si="69"/>
        <v/>
      </c>
      <c r="DN11" s="113" t="str">
        <f t="shared" si="70"/>
        <v/>
      </c>
      <c r="DO11" s="113" t="str">
        <f t="shared" si="71"/>
        <v/>
      </c>
      <c r="DP11" s="113" t="str">
        <f t="shared" si="72"/>
        <v/>
      </c>
      <c r="DQ11" s="113">
        <f t="shared" si="73"/>
        <v>1</v>
      </c>
      <c r="DR11" s="113" t="str">
        <f t="shared" si="74"/>
        <v/>
      </c>
      <c r="DS11" s="113" t="str">
        <f t="shared" si="75"/>
        <v/>
      </c>
      <c r="DT11" s="113" t="str">
        <f t="shared" si="76"/>
        <v/>
      </c>
      <c r="DU11" s="113" t="str">
        <f t="shared" si="77"/>
        <v/>
      </c>
      <c r="DV11" s="113" t="str">
        <f t="shared" si="78"/>
        <v/>
      </c>
      <c r="DW11" s="113" t="str">
        <f t="shared" si="79"/>
        <v/>
      </c>
      <c r="DX11" s="113" t="str">
        <f t="shared" si="80"/>
        <v/>
      </c>
      <c r="DY11" s="113" t="str">
        <f t="shared" si="81"/>
        <v/>
      </c>
      <c r="DZ11" s="113" t="str">
        <f t="shared" si="82"/>
        <v/>
      </c>
      <c r="EA11" s="113" t="str">
        <f t="shared" si="83"/>
        <v/>
      </c>
      <c r="EB11" s="113" t="str">
        <f t="shared" si="84"/>
        <v/>
      </c>
      <c r="EC11" s="113" t="str">
        <f t="shared" si="85"/>
        <v/>
      </c>
      <c r="ED11" s="113" t="str">
        <f t="shared" si="86"/>
        <v/>
      </c>
      <c r="EE11" s="113" t="str">
        <f t="shared" si="87"/>
        <v/>
      </c>
      <c r="EF11" s="113" t="str">
        <f t="shared" si="88"/>
        <v/>
      </c>
      <c r="EG11" s="113" t="str">
        <f t="shared" si="89"/>
        <v/>
      </c>
      <c r="EH11" s="113" t="str">
        <f t="shared" si="90"/>
        <v/>
      </c>
      <c r="EI11" s="113" t="str">
        <f t="shared" si="91"/>
        <v/>
      </c>
      <c r="EJ11" s="113" t="str">
        <f t="shared" si="92"/>
        <v/>
      </c>
      <c r="EK11" s="113" t="str">
        <f t="shared" si="93"/>
        <v/>
      </c>
      <c r="EL11" s="113" t="str">
        <f t="shared" si="94"/>
        <v/>
      </c>
      <c r="EM11" s="113" t="str">
        <f t="shared" si="95"/>
        <v/>
      </c>
      <c r="EN11" s="113" t="str">
        <f t="shared" si="96"/>
        <v/>
      </c>
      <c r="EO11" s="113" t="str">
        <f t="shared" si="97"/>
        <v/>
      </c>
      <c r="EP11" s="113" t="str">
        <f t="shared" si="98"/>
        <v/>
      </c>
      <c r="EQ11" s="113" t="str">
        <f t="shared" si="99"/>
        <v/>
      </c>
      <c r="ER11" s="113" t="str">
        <f t="shared" si="100"/>
        <v/>
      </c>
      <c r="ES11" s="113" t="str">
        <f t="shared" si="101"/>
        <v/>
      </c>
      <c r="ET11" s="660" t="str">
        <f t="shared" si="102"/>
        <v/>
      </c>
      <c r="EU11" s="660">
        <f t="shared" si="103"/>
        <v>1</v>
      </c>
      <c r="EV11" s="660" t="str">
        <f t="shared" si="104"/>
        <v/>
      </c>
      <c r="EW11" s="660" t="str">
        <f t="shared" si="105"/>
        <v/>
      </c>
      <c r="EX11" s="660" t="str">
        <f t="shared" si="106"/>
        <v/>
      </c>
      <c r="EY11" s="660" t="str">
        <f t="shared" si="107"/>
        <v/>
      </c>
      <c r="EZ11" s="660" t="str">
        <f t="shared" si="108"/>
        <v/>
      </c>
      <c r="FA11" s="660" t="str">
        <f t="shared" si="109"/>
        <v/>
      </c>
      <c r="FB11" s="660" t="str">
        <f t="shared" si="110"/>
        <v/>
      </c>
      <c r="FC11" s="660" t="str">
        <f t="shared" si="111"/>
        <v/>
      </c>
      <c r="FD11" s="660" t="str">
        <f t="shared" si="112"/>
        <v/>
      </c>
      <c r="FE11" s="660" t="str">
        <f t="shared" si="113"/>
        <v/>
      </c>
      <c r="FF11" s="660" t="str">
        <f t="shared" si="114"/>
        <v/>
      </c>
      <c r="FG11" s="660" t="str">
        <f t="shared" si="115"/>
        <v/>
      </c>
      <c r="FH11" s="660" t="str">
        <f t="shared" si="116"/>
        <v/>
      </c>
      <c r="FI11" s="660" t="str">
        <f t="shared" si="117"/>
        <v/>
      </c>
      <c r="FJ11" s="660" t="str">
        <f t="shared" si="118"/>
        <v/>
      </c>
      <c r="FK11" s="660" t="str">
        <f t="shared" si="119"/>
        <v/>
      </c>
      <c r="FL11" s="660" t="str">
        <f t="shared" si="120"/>
        <v/>
      </c>
      <c r="FM11" s="660" t="str">
        <f t="shared" si="121"/>
        <v/>
      </c>
      <c r="FN11" s="660" t="str">
        <f t="shared" si="122"/>
        <v/>
      </c>
      <c r="FO11" s="660" t="str">
        <f t="shared" si="123"/>
        <v/>
      </c>
      <c r="FP11" s="660" t="str">
        <f t="shared" si="124"/>
        <v/>
      </c>
      <c r="FQ11" s="660" t="str">
        <f t="shared" si="125"/>
        <v/>
      </c>
      <c r="FR11" s="660" t="str">
        <f t="shared" si="126"/>
        <v/>
      </c>
      <c r="FS11" s="660" t="str">
        <f t="shared" si="127"/>
        <v/>
      </c>
      <c r="FT11" s="660" t="str">
        <f t="shared" si="128"/>
        <v/>
      </c>
      <c r="FU11" s="660" t="str">
        <f t="shared" si="129"/>
        <v/>
      </c>
      <c r="FV11" s="660" t="str">
        <f t="shared" si="130"/>
        <v/>
      </c>
      <c r="FW11" s="660" t="str">
        <f t="shared" si="131"/>
        <v/>
      </c>
      <c r="FX11" s="660" t="str">
        <f t="shared" si="132"/>
        <v/>
      </c>
      <c r="FY11" s="660">
        <f t="shared" si="133"/>
        <v>1</v>
      </c>
      <c r="FZ11" s="660" t="str">
        <f t="shared" si="134"/>
        <v/>
      </c>
      <c r="GA11" s="660" t="str">
        <f t="shared" si="135"/>
        <v/>
      </c>
      <c r="GB11" s="660" t="str">
        <f t="shared" si="136"/>
        <v/>
      </c>
      <c r="GC11" s="660" t="str">
        <f t="shared" si="137"/>
        <v/>
      </c>
      <c r="GD11" s="660" t="str">
        <f t="shared" si="138"/>
        <v/>
      </c>
      <c r="GE11" s="660" t="str">
        <f t="shared" si="139"/>
        <v/>
      </c>
      <c r="GF11" s="660" t="str">
        <f t="shared" si="140"/>
        <v/>
      </c>
      <c r="GG11" s="660" t="str">
        <f t="shared" si="141"/>
        <v/>
      </c>
      <c r="GH11" s="660" t="str">
        <f t="shared" si="142"/>
        <v/>
      </c>
      <c r="GI11" s="660" t="str">
        <f t="shared" si="143"/>
        <v/>
      </c>
      <c r="GJ11" s="660" t="str">
        <f t="shared" si="144"/>
        <v/>
      </c>
      <c r="GK11" s="660" t="str">
        <f t="shared" si="145"/>
        <v/>
      </c>
      <c r="GL11" s="660" t="str">
        <f t="shared" si="146"/>
        <v/>
      </c>
      <c r="GM11" s="661" t="str">
        <f t="shared" si="147"/>
        <v/>
      </c>
      <c r="GN11" s="661" t="str">
        <f t="shared" si="148"/>
        <v/>
      </c>
      <c r="GO11" s="661" t="str">
        <f t="shared" si="149"/>
        <v/>
      </c>
      <c r="GP11" s="661" t="str">
        <f t="shared" si="150"/>
        <v/>
      </c>
      <c r="GQ11" s="661" t="str">
        <f t="shared" si="151"/>
        <v/>
      </c>
      <c r="GR11" s="113" t="str">
        <f t="shared" si="152"/>
        <v/>
      </c>
      <c r="GS11" s="113" t="str">
        <f t="shared" si="153"/>
        <v/>
      </c>
      <c r="GT11" s="113" t="str">
        <f t="shared" si="154"/>
        <v/>
      </c>
      <c r="GU11" s="113" t="str">
        <f t="shared" si="155"/>
        <v/>
      </c>
      <c r="GV11" s="113" t="str">
        <f t="shared" si="156"/>
        <v/>
      </c>
      <c r="GW11" s="113" t="str">
        <f t="shared" si="157"/>
        <v/>
      </c>
      <c r="GX11" s="113" t="str">
        <f t="shared" si="158"/>
        <v/>
      </c>
      <c r="GY11" s="113" t="str">
        <f t="shared" si="159"/>
        <v/>
      </c>
      <c r="GZ11" s="113" t="str">
        <f t="shared" si="160"/>
        <v/>
      </c>
      <c r="HA11" s="113" t="str">
        <f t="shared" si="161"/>
        <v/>
      </c>
      <c r="HB11" s="113" t="str">
        <f t="shared" si="162"/>
        <v/>
      </c>
      <c r="HC11" s="113" t="str">
        <f t="shared" si="163"/>
        <v/>
      </c>
      <c r="HD11" s="113" t="str">
        <f t="shared" si="164"/>
        <v/>
      </c>
      <c r="HE11" s="113" t="str">
        <f t="shared" si="165"/>
        <v/>
      </c>
      <c r="HF11" s="113" t="str">
        <f t="shared" si="166"/>
        <v/>
      </c>
      <c r="HG11" s="113" t="str">
        <f t="shared" si="167"/>
        <v/>
      </c>
      <c r="HH11" s="113" t="str">
        <f t="shared" si="168"/>
        <v/>
      </c>
      <c r="HI11" s="113" t="str">
        <f t="shared" si="169"/>
        <v/>
      </c>
      <c r="HJ11" s="113" t="str">
        <f t="shared" si="170"/>
        <v/>
      </c>
      <c r="HK11" s="113" t="str">
        <f t="shared" si="171"/>
        <v/>
      </c>
    </row>
    <row r="12" spans="1:219" ht="13.2" customHeight="1">
      <c r="A12" s="146" t="str">
        <f t="shared" si="172"/>
        <v/>
      </c>
      <c r="B12" s="836" t="s">
        <v>1790</v>
      </c>
      <c r="C12" s="837">
        <v>1</v>
      </c>
      <c r="D12" s="838">
        <v>1</v>
      </c>
      <c r="E12" s="839">
        <v>4</v>
      </c>
      <c r="F12" s="839">
        <v>718</v>
      </c>
      <c r="G12" s="839">
        <v>589</v>
      </c>
      <c r="H12" s="839">
        <v>497</v>
      </c>
      <c r="I12" s="839">
        <v>110</v>
      </c>
      <c r="J12" s="840" t="s">
        <v>4030</v>
      </c>
      <c r="K12" s="227">
        <f t="shared" si="173"/>
        <v>387</v>
      </c>
      <c r="L12" s="227">
        <f t="shared" si="0"/>
        <v>1548</v>
      </c>
      <c r="M12" s="841" t="s">
        <v>3919</v>
      </c>
      <c r="N12" s="841" t="s">
        <v>3985</v>
      </c>
      <c r="O12" s="841" t="s">
        <v>3986</v>
      </c>
      <c r="P12" s="581">
        <f t="shared" si="1"/>
        <v>19880</v>
      </c>
      <c r="Q12" s="582">
        <f>IF(H12="","",P12/($P$6*VLOOKUP(C12,'DCA Underwriting Assumptions'!$J$77:$K$82,2,FALSE)))</f>
        <v>0.51872146118721463</v>
      </c>
      <c r="R12" s="739"/>
      <c r="S12" s="659"/>
      <c r="T12" s="113" t="str">
        <f t="shared" si="2"/>
        <v/>
      </c>
      <c r="U12" s="113">
        <f t="shared" si="3"/>
        <v>4</v>
      </c>
      <c r="V12" s="113" t="str">
        <f t="shared" si="4"/>
        <v/>
      </c>
      <c r="W12" s="113" t="str">
        <f t="shared" si="5"/>
        <v/>
      </c>
      <c r="X12" s="113" t="str">
        <f t="shared" si="6"/>
        <v/>
      </c>
      <c r="Y12" s="113" t="str">
        <f t="shared" si="7"/>
        <v/>
      </c>
      <c r="Z12" s="113" t="str">
        <f t="shared" si="8"/>
        <v/>
      </c>
      <c r="AA12" s="113" t="str">
        <f t="shared" si="9"/>
        <v/>
      </c>
      <c r="AB12" s="113" t="str">
        <f t="shared" si="10"/>
        <v/>
      </c>
      <c r="AC12" s="113" t="str">
        <f t="shared" si="11"/>
        <v/>
      </c>
      <c r="AD12" s="113" t="str">
        <f t="shared" si="12"/>
        <v/>
      </c>
      <c r="AE12" s="113" t="str">
        <f t="shared" si="13"/>
        <v/>
      </c>
      <c r="AF12" s="113" t="str">
        <f t="shared" si="14"/>
        <v/>
      </c>
      <c r="AG12" s="113" t="str">
        <f t="shared" si="15"/>
        <v/>
      </c>
      <c r="AH12" s="113" t="str">
        <f t="shared" si="16"/>
        <v/>
      </c>
      <c r="AI12" s="113" t="str">
        <f t="shared" si="17"/>
        <v/>
      </c>
      <c r="AJ12" s="113" t="str">
        <f t="shared" si="18"/>
        <v/>
      </c>
      <c r="AK12" s="113" t="str">
        <f t="shared" si="19"/>
        <v/>
      </c>
      <c r="AL12" s="113" t="str">
        <f t="shared" si="20"/>
        <v/>
      </c>
      <c r="AM12" s="113" t="str">
        <f t="shared" si="21"/>
        <v/>
      </c>
      <c r="AN12" s="113" t="str">
        <f t="shared" si="174"/>
        <v/>
      </c>
      <c r="AO12" s="113" t="str">
        <f t="shared" si="175"/>
        <v/>
      </c>
      <c r="AP12" s="113" t="str">
        <f t="shared" si="176"/>
        <v/>
      </c>
      <c r="AQ12" s="113" t="str">
        <f t="shared" si="177"/>
        <v/>
      </c>
      <c r="AR12" s="113" t="str">
        <f t="shared" si="178"/>
        <v/>
      </c>
      <c r="AS12" s="113" t="str">
        <f t="shared" si="179"/>
        <v/>
      </c>
      <c r="AT12" s="113" t="str">
        <f t="shared" si="180"/>
        <v/>
      </c>
      <c r="AU12" s="113" t="str">
        <f t="shared" si="181"/>
        <v/>
      </c>
      <c r="AV12" s="113" t="str">
        <f t="shared" si="182"/>
        <v/>
      </c>
      <c r="AW12" s="113" t="str">
        <f t="shared" si="183"/>
        <v/>
      </c>
      <c r="AX12" s="113" t="str">
        <f t="shared" si="184"/>
        <v/>
      </c>
      <c r="AY12" s="113">
        <f t="shared" si="185"/>
        <v>4</v>
      </c>
      <c r="AZ12" s="113" t="str">
        <f t="shared" si="186"/>
        <v/>
      </c>
      <c r="BA12" s="113" t="str">
        <f t="shared" si="187"/>
        <v/>
      </c>
      <c r="BB12" s="113" t="str">
        <f t="shared" si="188"/>
        <v/>
      </c>
      <c r="BC12" s="113" t="str">
        <f t="shared" si="189"/>
        <v/>
      </c>
      <c r="BD12" s="113" t="str">
        <f t="shared" si="190"/>
        <v/>
      </c>
      <c r="BE12" s="113" t="str">
        <f t="shared" si="191"/>
        <v/>
      </c>
      <c r="BF12" s="113" t="str">
        <f t="shared" si="192"/>
        <v/>
      </c>
      <c r="BG12" s="113" t="str">
        <f t="shared" si="193"/>
        <v/>
      </c>
      <c r="BH12" s="113" t="str">
        <f t="shared" si="194"/>
        <v/>
      </c>
      <c r="BI12" s="113" t="str">
        <f t="shared" si="195"/>
        <v/>
      </c>
      <c r="BJ12" s="113" t="str">
        <f t="shared" si="196"/>
        <v/>
      </c>
      <c r="BK12" s="113" t="str">
        <f t="shared" si="197"/>
        <v/>
      </c>
      <c r="BL12" s="113" t="str">
        <f t="shared" si="198"/>
        <v/>
      </c>
      <c r="BM12" s="113" t="str">
        <f t="shared" si="199"/>
        <v/>
      </c>
      <c r="BN12" s="113" t="str">
        <f t="shared" si="200"/>
        <v/>
      </c>
      <c r="BO12" s="113" t="str">
        <f t="shared" si="201"/>
        <v/>
      </c>
      <c r="BP12" s="113" t="str">
        <f t="shared" si="202"/>
        <v/>
      </c>
      <c r="BQ12" s="113" t="str">
        <f t="shared" si="203"/>
        <v/>
      </c>
      <c r="BR12" s="113" t="str">
        <f t="shared" si="22"/>
        <v/>
      </c>
      <c r="BS12" s="113" t="str">
        <f t="shared" si="23"/>
        <v/>
      </c>
      <c r="BT12" s="113" t="str">
        <f t="shared" si="24"/>
        <v/>
      </c>
      <c r="BU12" s="113" t="str">
        <f t="shared" si="25"/>
        <v/>
      </c>
      <c r="BV12" s="113" t="str">
        <f t="shared" si="26"/>
        <v/>
      </c>
      <c r="BW12" s="113" t="str">
        <f t="shared" si="27"/>
        <v/>
      </c>
      <c r="BX12" s="113">
        <f t="shared" si="28"/>
        <v>2872</v>
      </c>
      <c r="BY12" s="113" t="str">
        <f t="shared" si="29"/>
        <v/>
      </c>
      <c r="BZ12" s="113" t="str">
        <f t="shared" si="30"/>
        <v/>
      </c>
      <c r="CA12" s="113" t="str">
        <f t="shared" si="31"/>
        <v/>
      </c>
      <c r="CB12" s="113" t="str">
        <f t="shared" si="32"/>
        <v/>
      </c>
      <c r="CC12" s="113" t="str">
        <f t="shared" si="33"/>
        <v/>
      </c>
      <c r="CD12" s="113" t="str">
        <f t="shared" si="34"/>
        <v/>
      </c>
      <c r="CE12" s="113" t="str">
        <f t="shared" si="35"/>
        <v/>
      </c>
      <c r="CF12" s="113" t="str">
        <f t="shared" si="36"/>
        <v/>
      </c>
      <c r="CG12" s="113" t="str">
        <f t="shared" si="37"/>
        <v/>
      </c>
      <c r="CH12" s="113" t="str">
        <f t="shared" si="38"/>
        <v/>
      </c>
      <c r="CI12" s="113" t="str">
        <f t="shared" si="39"/>
        <v/>
      </c>
      <c r="CJ12" s="113" t="str">
        <f t="shared" si="40"/>
        <v/>
      </c>
      <c r="CK12" s="113" t="str">
        <f t="shared" si="41"/>
        <v/>
      </c>
      <c r="CL12" s="113" t="str">
        <f t="shared" si="42"/>
        <v/>
      </c>
      <c r="CM12" s="113" t="str">
        <f t="shared" si="43"/>
        <v/>
      </c>
      <c r="CN12" s="113" t="str">
        <f t="shared" si="44"/>
        <v/>
      </c>
      <c r="CO12" s="113" t="str">
        <f t="shared" si="45"/>
        <v/>
      </c>
      <c r="CP12" s="113" t="str">
        <f t="shared" si="46"/>
        <v/>
      </c>
      <c r="CQ12" s="113" t="str">
        <f t="shared" si="47"/>
        <v/>
      </c>
      <c r="CR12" s="113">
        <f t="shared" si="48"/>
        <v>2872</v>
      </c>
      <c r="CS12" s="113" t="str">
        <f t="shared" si="49"/>
        <v/>
      </c>
      <c r="CT12" s="113" t="str">
        <f t="shared" si="50"/>
        <v/>
      </c>
      <c r="CU12" s="113" t="str">
        <f t="shared" si="51"/>
        <v/>
      </c>
      <c r="CV12" s="113" t="str">
        <f t="shared" si="52"/>
        <v/>
      </c>
      <c r="CW12" s="113" t="str">
        <f t="shared" si="53"/>
        <v/>
      </c>
      <c r="CX12" s="113" t="str">
        <f t="shared" si="54"/>
        <v/>
      </c>
      <c r="CY12" s="113" t="str">
        <f t="shared" si="55"/>
        <v/>
      </c>
      <c r="CZ12" s="113" t="str">
        <f t="shared" si="56"/>
        <v/>
      </c>
      <c r="DA12" s="113" t="str">
        <f t="shared" si="57"/>
        <v/>
      </c>
      <c r="DB12" s="113" t="str">
        <f t="shared" si="58"/>
        <v/>
      </c>
      <c r="DC12" s="113" t="str">
        <f t="shared" si="59"/>
        <v/>
      </c>
      <c r="DD12" s="113" t="str">
        <f t="shared" si="60"/>
        <v/>
      </c>
      <c r="DE12" s="113" t="str">
        <f t="shared" si="61"/>
        <v/>
      </c>
      <c r="DF12" s="113" t="str">
        <f t="shared" si="62"/>
        <v/>
      </c>
      <c r="DG12" s="113" t="str">
        <f t="shared" si="63"/>
        <v/>
      </c>
      <c r="DH12" s="113" t="str">
        <f t="shared" si="64"/>
        <v/>
      </c>
      <c r="DI12" s="113" t="str">
        <f t="shared" si="65"/>
        <v/>
      </c>
      <c r="DJ12" s="113" t="str">
        <f t="shared" si="66"/>
        <v/>
      </c>
      <c r="DK12" s="113" t="str">
        <f t="shared" si="67"/>
        <v/>
      </c>
      <c r="DL12" s="113" t="str">
        <f t="shared" si="68"/>
        <v/>
      </c>
      <c r="DM12" s="113" t="str">
        <f t="shared" si="69"/>
        <v/>
      </c>
      <c r="DN12" s="113" t="str">
        <f t="shared" si="70"/>
        <v/>
      </c>
      <c r="DO12" s="113" t="str">
        <f t="shared" si="71"/>
        <v/>
      </c>
      <c r="DP12" s="113" t="str">
        <f t="shared" si="72"/>
        <v/>
      </c>
      <c r="DQ12" s="113">
        <f t="shared" si="73"/>
        <v>4</v>
      </c>
      <c r="DR12" s="113" t="str">
        <f t="shared" si="74"/>
        <v/>
      </c>
      <c r="DS12" s="113" t="str">
        <f t="shared" si="75"/>
        <v/>
      </c>
      <c r="DT12" s="113" t="str">
        <f t="shared" si="76"/>
        <v/>
      </c>
      <c r="DU12" s="113" t="str">
        <f t="shared" si="77"/>
        <v/>
      </c>
      <c r="DV12" s="113" t="str">
        <f t="shared" si="78"/>
        <v/>
      </c>
      <c r="DW12" s="113" t="str">
        <f t="shared" si="79"/>
        <v/>
      </c>
      <c r="DX12" s="113" t="str">
        <f t="shared" si="80"/>
        <v/>
      </c>
      <c r="DY12" s="113" t="str">
        <f t="shared" si="81"/>
        <v/>
      </c>
      <c r="DZ12" s="113" t="str">
        <f t="shared" si="82"/>
        <v/>
      </c>
      <c r="EA12" s="113" t="str">
        <f t="shared" si="83"/>
        <v/>
      </c>
      <c r="EB12" s="113" t="str">
        <f t="shared" si="84"/>
        <v/>
      </c>
      <c r="EC12" s="113" t="str">
        <f t="shared" si="85"/>
        <v/>
      </c>
      <c r="ED12" s="113" t="str">
        <f t="shared" si="86"/>
        <v/>
      </c>
      <c r="EE12" s="113" t="str">
        <f t="shared" si="87"/>
        <v/>
      </c>
      <c r="EF12" s="113" t="str">
        <f t="shared" si="88"/>
        <v/>
      </c>
      <c r="EG12" s="113" t="str">
        <f t="shared" si="89"/>
        <v/>
      </c>
      <c r="EH12" s="113" t="str">
        <f t="shared" si="90"/>
        <v/>
      </c>
      <c r="EI12" s="113" t="str">
        <f t="shared" si="91"/>
        <v/>
      </c>
      <c r="EJ12" s="113" t="str">
        <f t="shared" si="92"/>
        <v/>
      </c>
      <c r="EK12" s="113" t="str">
        <f t="shared" si="93"/>
        <v/>
      </c>
      <c r="EL12" s="113" t="str">
        <f t="shared" si="94"/>
        <v/>
      </c>
      <c r="EM12" s="113" t="str">
        <f t="shared" si="95"/>
        <v/>
      </c>
      <c r="EN12" s="113" t="str">
        <f t="shared" si="96"/>
        <v/>
      </c>
      <c r="EO12" s="113" t="str">
        <f t="shared" si="97"/>
        <v/>
      </c>
      <c r="EP12" s="113" t="str">
        <f t="shared" si="98"/>
        <v/>
      </c>
      <c r="EQ12" s="113" t="str">
        <f t="shared" si="99"/>
        <v/>
      </c>
      <c r="ER12" s="113" t="str">
        <f t="shared" si="100"/>
        <v/>
      </c>
      <c r="ES12" s="113" t="str">
        <f t="shared" si="101"/>
        <v/>
      </c>
      <c r="ET12" s="660" t="str">
        <f t="shared" si="102"/>
        <v/>
      </c>
      <c r="EU12" s="660">
        <f t="shared" si="103"/>
        <v>4</v>
      </c>
      <c r="EV12" s="660" t="str">
        <f t="shared" si="104"/>
        <v/>
      </c>
      <c r="EW12" s="660" t="str">
        <f t="shared" si="105"/>
        <v/>
      </c>
      <c r="EX12" s="660" t="str">
        <f t="shared" si="106"/>
        <v/>
      </c>
      <c r="EY12" s="660" t="str">
        <f t="shared" si="107"/>
        <v/>
      </c>
      <c r="EZ12" s="660" t="str">
        <f t="shared" si="108"/>
        <v/>
      </c>
      <c r="FA12" s="660" t="str">
        <f t="shared" si="109"/>
        <v/>
      </c>
      <c r="FB12" s="660" t="str">
        <f t="shared" si="110"/>
        <v/>
      </c>
      <c r="FC12" s="660" t="str">
        <f t="shared" si="111"/>
        <v/>
      </c>
      <c r="FD12" s="660" t="str">
        <f t="shared" si="112"/>
        <v/>
      </c>
      <c r="FE12" s="660" t="str">
        <f t="shared" si="113"/>
        <v/>
      </c>
      <c r="FF12" s="660" t="str">
        <f t="shared" si="114"/>
        <v/>
      </c>
      <c r="FG12" s="660" t="str">
        <f t="shared" si="115"/>
        <v/>
      </c>
      <c r="FH12" s="660" t="str">
        <f t="shared" si="116"/>
        <v/>
      </c>
      <c r="FI12" s="660" t="str">
        <f t="shared" si="117"/>
        <v/>
      </c>
      <c r="FJ12" s="660" t="str">
        <f t="shared" si="118"/>
        <v/>
      </c>
      <c r="FK12" s="660" t="str">
        <f t="shared" si="119"/>
        <v/>
      </c>
      <c r="FL12" s="660" t="str">
        <f t="shared" si="120"/>
        <v/>
      </c>
      <c r="FM12" s="660" t="str">
        <f t="shared" si="121"/>
        <v/>
      </c>
      <c r="FN12" s="660" t="str">
        <f t="shared" si="122"/>
        <v/>
      </c>
      <c r="FO12" s="660" t="str">
        <f t="shared" si="123"/>
        <v/>
      </c>
      <c r="FP12" s="660" t="str">
        <f t="shared" si="124"/>
        <v/>
      </c>
      <c r="FQ12" s="660" t="str">
        <f t="shared" si="125"/>
        <v/>
      </c>
      <c r="FR12" s="660" t="str">
        <f t="shared" si="126"/>
        <v/>
      </c>
      <c r="FS12" s="660" t="str">
        <f t="shared" si="127"/>
        <v/>
      </c>
      <c r="FT12" s="660" t="str">
        <f t="shared" si="128"/>
        <v/>
      </c>
      <c r="FU12" s="660" t="str">
        <f t="shared" si="129"/>
        <v/>
      </c>
      <c r="FV12" s="660" t="str">
        <f t="shared" si="130"/>
        <v/>
      </c>
      <c r="FW12" s="660" t="str">
        <f t="shared" si="131"/>
        <v/>
      </c>
      <c r="FX12" s="660" t="str">
        <f t="shared" si="132"/>
        <v/>
      </c>
      <c r="FY12" s="660">
        <f t="shared" si="133"/>
        <v>4</v>
      </c>
      <c r="FZ12" s="660" t="str">
        <f t="shared" si="134"/>
        <v/>
      </c>
      <c r="GA12" s="660" t="str">
        <f t="shared" si="135"/>
        <v/>
      </c>
      <c r="GB12" s="660" t="str">
        <f t="shared" si="136"/>
        <v/>
      </c>
      <c r="GC12" s="660" t="str">
        <f t="shared" si="137"/>
        <v/>
      </c>
      <c r="GD12" s="660" t="str">
        <f t="shared" si="138"/>
        <v/>
      </c>
      <c r="GE12" s="660" t="str">
        <f t="shared" si="139"/>
        <v/>
      </c>
      <c r="GF12" s="660" t="str">
        <f t="shared" si="140"/>
        <v/>
      </c>
      <c r="GG12" s="660" t="str">
        <f t="shared" si="141"/>
        <v/>
      </c>
      <c r="GH12" s="660" t="str">
        <f t="shared" si="142"/>
        <v/>
      </c>
      <c r="GI12" s="660" t="str">
        <f t="shared" si="143"/>
        <v/>
      </c>
      <c r="GJ12" s="660" t="str">
        <f t="shared" si="144"/>
        <v/>
      </c>
      <c r="GK12" s="660" t="str">
        <f t="shared" si="145"/>
        <v/>
      </c>
      <c r="GL12" s="660" t="str">
        <f t="shared" si="146"/>
        <v/>
      </c>
      <c r="GM12" s="661" t="str">
        <f t="shared" si="147"/>
        <v/>
      </c>
      <c r="GN12" s="661" t="str">
        <f t="shared" si="148"/>
        <v/>
      </c>
      <c r="GO12" s="661" t="str">
        <f t="shared" si="149"/>
        <v/>
      </c>
      <c r="GP12" s="661" t="str">
        <f t="shared" si="150"/>
        <v/>
      </c>
      <c r="GQ12" s="661" t="str">
        <f t="shared" si="151"/>
        <v/>
      </c>
      <c r="GR12" s="113" t="str">
        <f t="shared" si="152"/>
        <v/>
      </c>
      <c r="GS12" s="113" t="str">
        <f t="shared" si="153"/>
        <v/>
      </c>
      <c r="GT12" s="113" t="str">
        <f t="shared" si="154"/>
        <v/>
      </c>
      <c r="GU12" s="113" t="str">
        <f t="shared" si="155"/>
        <v/>
      </c>
      <c r="GV12" s="113" t="str">
        <f t="shared" si="156"/>
        <v/>
      </c>
      <c r="GW12" s="113" t="str">
        <f t="shared" si="157"/>
        <v/>
      </c>
      <c r="GX12" s="113" t="str">
        <f t="shared" si="158"/>
        <v/>
      </c>
      <c r="GY12" s="113" t="str">
        <f t="shared" si="159"/>
        <v/>
      </c>
      <c r="GZ12" s="113" t="str">
        <f t="shared" si="160"/>
        <v/>
      </c>
      <c r="HA12" s="113" t="str">
        <f t="shared" si="161"/>
        <v/>
      </c>
      <c r="HB12" s="113" t="str">
        <f t="shared" si="162"/>
        <v/>
      </c>
      <c r="HC12" s="113" t="str">
        <f t="shared" si="163"/>
        <v/>
      </c>
      <c r="HD12" s="113" t="str">
        <f t="shared" si="164"/>
        <v/>
      </c>
      <c r="HE12" s="113" t="str">
        <f t="shared" si="165"/>
        <v/>
      </c>
      <c r="HF12" s="113" t="str">
        <f t="shared" si="166"/>
        <v/>
      </c>
      <c r="HG12" s="113" t="str">
        <f t="shared" si="167"/>
        <v/>
      </c>
      <c r="HH12" s="113" t="str">
        <f t="shared" si="168"/>
        <v/>
      </c>
      <c r="HI12" s="113" t="str">
        <f t="shared" si="169"/>
        <v/>
      </c>
      <c r="HJ12" s="113" t="str">
        <f t="shared" si="170"/>
        <v/>
      </c>
      <c r="HK12" s="113" t="str">
        <f t="shared" si="171"/>
        <v/>
      </c>
    </row>
    <row r="13" spans="1:219" ht="13.2" customHeight="1">
      <c r="A13" s="146" t="str">
        <f t="shared" ref="A13:A20" si="204">IF(AND(E13&gt;0,OR(B13="",C13="",D13="",F13="",G13="", H13="",M13="",N13="",O13="")),1,"")</f>
        <v/>
      </c>
      <c r="B13" s="836" t="s">
        <v>1790</v>
      </c>
      <c r="C13" s="837">
        <v>1</v>
      </c>
      <c r="D13" s="838">
        <v>1</v>
      </c>
      <c r="E13" s="839">
        <v>2</v>
      </c>
      <c r="F13" s="839">
        <v>718</v>
      </c>
      <c r="G13" s="839">
        <v>589</v>
      </c>
      <c r="H13" s="839">
        <v>497</v>
      </c>
      <c r="I13" s="839">
        <v>110</v>
      </c>
      <c r="J13" s="840"/>
      <c r="K13" s="227">
        <f t="shared" ref="K13:K20" si="205">MAX(0,H13-I13)</f>
        <v>387</v>
      </c>
      <c r="L13" s="227">
        <f t="shared" ref="L13:L20" si="206">MAX(0,E13*K13)</f>
        <v>774</v>
      </c>
      <c r="M13" s="841" t="s">
        <v>3919</v>
      </c>
      <c r="N13" s="841" t="s">
        <v>3985</v>
      </c>
      <c r="O13" s="841" t="s">
        <v>3986</v>
      </c>
      <c r="P13" s="581">
        <f t="shared" si="1"/>
        <v>19880</v>
      </c>
      <c r="Q13" s="582">
        <f>IF(H13="","",P13/($P$6*VLOOKUP(C13,'DCA Underwriting Assumptions'!$J$77:$K$82,2,FALSE)))</f>
        <v>0.51872146118721463</v>
      </c>
      <c r="R13" s="739"/>
      <c r="S13" s="659"/>
      <c r="T13" s="113" t="str">
        <f t="shared" ref="T13:T20" si="207">IF(AND(C13="Efficiency",B13="60% AMI",NOT(M13="Common")),E13,"")</f>
        <v/>
      </c>
      <c r="U13" s="113">
        <f t="shared" ref="U13:U20" si="208">IF(AND(C13=1,B13="60% AMI",NOT(M13="Common")),E13,"")</f>
        <v>2</v>
      </c>
      <c r="V13" s="113" t="str">
        <f t="shared" ref="V13:V20" si="209">IF(AND(C13=2,B13="60% AMI",NOT(M13="Common")),E13,"")</f>
        <v/>
      </c>
      <c r="W13" s="113" t="str">
        <f t="shared" ref="W13:W20" si="210">IF(AND(C13=3,B13="60% AMI",NOT(M13="Common")),E13,"")</f>
        <v/>
      </c>
      <c r="X13" s="113" t="str">
        <f t="shared" ref="X13:X20" si="211">IF(AND(C13=4,B13="60% AMI",NOT(M13="Common")),E13,"")</f>
        <v/>
      </c>
      <c r="Y13" s="113" t="str">
        <f t="shared" ref="Y13:Y20" si="212">IF(AND(C13="Efficiency",B13="50% AMI",NOT(M13="Common")),E13,"")</f>
        <v/>
      </c>
      <c r="Z13" s="113" t="str">
        <f t="shared" ref="Z13:Z20" si="213">IF(AND(C13=1,B13="50% AMI",NOT(M13="Common")),E13,"")</f>
        <v/>
      </c>
      <c r="AA13" s="113" t="str">
        <f t="shared" ref="AA13:AA20" si="214">IF(AND(C13=2,B13="50% AMI",NOT(M13="Common")),E13,"")</f>
        <v/>
      </c>
      <c r="AB13" s="113" t="str">
        <f t="shared" ref="AB13:AB20" si="215">IF(AND(C13=3,B13="50% AMI",NOT(M13="Common")),E13,"")</f>
        <v/>
      </c>
      <c r="AC13" s="113" t="str">
        <f t="shared" ref="AC13:AC20" si="216">IF(AND(C13=4,B13="50% AMI",NOT(M13="Common")),E13,"")</f>
        <v/>
      </c>
      <c r="AD13" s="113" t="str">
        <f t="shared" ref="AD13:AD20" si="217">IF(AND(C13="Efficiency",B13="30% AMI",NOT(M13="Common")),E13,"")</f>
        <v/>
      </c>
      <c r="AE13" s="113" t="str">
        <f t="shared" ref="AE13:AE20" si="218">IF(AND(C13=1,B13="30% AMI",NOT(M13="Common")),E13,"")</f>
        <v/>
      </c>
      <c r="AF13" s="113" t="str">
        <f t="shared" ref="AF13:AF20" si="219">IF(AND(C13=2,B13="30% AMI",NOT(M13="Common")),E13,"")</f>
        <v/>
      </c>
      <c r="AG13" s="113" t="str">
        <f t="shared" ref="AG13:AG20" si="220">IF(AND(C13=3,B13="30% AMI",NOT(M13="Common")),E13,"")</f>
        <v/>
      </c>
      <c r="AH13" s="113" t="str">
        <f t="shared" ref="AH13:AH20" si="221">IF(AND(C13=4,B13="30% AMI",NOT(M13="Common")),E13,"")</f>
        <v/>
      </c>
      <c r="AI13" s="113" t="str">
        <f t="shared" ref="AI13:AI20" si="222">IF(AND(C13="Efficiency",B13="Unrestricted",NOT(M13="Common")),E13,"")</f>
        <v/>
      </c>
      <c r="AJ13" s="113" t="str">
        <f t="shared" ref="AJ13:AJ20" si="223">IF(AND(C13=1,B13="Unrestricted",NOT(M13="Common")),E13,"")</f>
        <v/>
      </c>
      <c r="AK13" s="113" t="str">
        <f t="shared" ref="AK13:AK20" si="224">IF(AND(C13=2,B13="Unrestricted",NOT(M13="Common")),E13,"")</f>
        <v/>
      </c>
      <c r="AL13" s="113" t="str">
        <f t="shared" ref="AL13:AL20" si="225">IF(AND(C13=3,B13="Unrestricted",NOT(M13="Common")),E13,"")</f>
        <v/>
      </c>
      <c r="AM13" s="113" t="str">
        <f t="shared" ref="AM13:AM20" si="226">IF(AND(C13=4,B13="Unrestricted",NOT(M13="Common")),E13,"")</f>
        <v/>
      </c>
      <c r="AN13" s="113" t="str">
        <f t="shared" ref="AN13:AN20" si="227">IF(OR(AND($C13="Efficiency",NOT($J13=""),NOT($J13="PHA Oper Sub"),$B13="30% AMI",NOT($M13="Common")),AND($C13="Efficiency",NOT($J13=""),NOT($J13="PHA Oper Sub"),$B13="HOME 30% AMI",NOT($M13="Common"))),$E13,"")</f>
        <v/>
      </c>
      <c r="AO13" s="113" t="str">
        <f t="shared" ref="AO13:AO20" si="228">IF(OR(AND($C13=1,NOT($J13=""),NOT($J13="PHA Oper Sub"),$B13="30% AMI",NOT($M13="Common")),AND($C13=1,NOT($J13=""),NOT($J13="PHA Oper Sub"),$B13="HOME 30% AMI",NOT($M13="Common"))),$E13,"")</f>
        <v/>
      </c>
      <c r="AP13" s="113" t="str">
        <f t="shared" ref="AP13:AP20" si="229">IF(OR(AND($C13=2,NOT($J13=""),NOT($J13="PHA Oper Sub"),$B13="30% AMI",NOT($M13="Common")),AND($C13=2,NOT($J13=""),NOT($J13="PHA Oper Sub"),$B13="HOME 30% AMI",NOT($M13="Common"))),$E13,"")</f>
        <v/>
      </c>
      <c r="AQ13" s="113" t="str">
        <f t="shared" ref="AQ13:AQ20" si="230">IF(OR(AND($C13=3,NOT($J13=""),NOT($J13="PHA Oper Sub"),$B13="30% AMI",NOT($M13="Common")),AND($C13=3,NOT($J13=""),NOT($J13="PHA Oper Sub"),$B13="HOME 30% AMI",NOT($M13="Common"))),$E13,"")</f>
        <v/>
      </c>
      <c r="AR13" s="113" t="str">
        <f t="shared" ref="AR13:AR20" si="231">IF(OR(AND($C13=4,NOT($J13=""),NOT($J13="PHA Oper Sub"),$B13="30% AMI",NOT($M13="Common")),AND($C13=4,NOT($J13=""),NOT($J13="PHA Oper Sub"),$B13="HOME 30% AMI",NOT($M13="Common"))),$E13,"")</f>
        <v/>
      </c>
      <c r="AS13" s="113" t="str">
        <f t="shared" ref="AS13:AS20" si="232">IF(OR(AND($C13="Efficiency",NOT($J13=""),NOT($J13="PHA Oper Sub"),NOT($J13=0),$B13="50% AMI",NOT($M13="Common")),AND($C13="Efficiency",NOT($J13=""),NOT($J13=0),NOT($J13="PHA Oper Sub"),$B13="HOME 50% AMI",NOT($M13="Common"))),$E13,"")</f>
        <v/>
      </c>
      <c r="AT13" s="113" t="str">
        <f t="shared" ref="AT13:AT20" si="233">IF(OR(AND($C13=1,NOT($J13=""),NOT($J13=0),NOT($J13="PHA Oper Sub"),$B13="50% AMI",NOT($M13="Common")),AND($C13=1,NOT($J13=""),NOT($J13=0),NOT($J13="PHA Oper Sub"),$B13="HOME 50% AMI",NOT($M13="Common"))),$E13,"")</f>
        <v/>
      </c>
      <c r="AU13" s="113" t="str">
        <f t="shared" ref="AU13:AU20" si="234">IF(OR(AND($C13=2,NOT($J13=""),NOT($J13=0),NOT($J13="PHA Oper Sub"),$B13="50% AMI",NOT($M13="Common")),AND($C13=2,NOT($J13=""),NOT($J13=0),NOT($J13="PHA Oper Sub"),$B13="HOME 50% AMI",NOT($M13="Common"))),$E13,"")</f>
        <v/>
      </c>
      <c r="AV13" s="113" t="str">
        <f t="shared" ref="AV13:AV20" si="235">IF(OR(AND($C13=3,NOT($J13=""),NOT($J13=0),NOT($J13="PHA Oper Sub"),$B13="50% AMI",NOT($M13="Common")),AND($C13=3,NOT($J13=""),NOT($J13=0),NOT($J13="PHA Oper Sub"),$B13="HOME 50% AMI",NOT($M13="Common"))),$E13,"")</f>
        <v/>
      </c>
      <c r="AW13" s="113" t="str">
        <f t="shared" ref="AW13:AW20" si="236">IF(OR(AND($C13=4,NOT($J13=""),NOT($J13=0),NOT($J13="PHA Oper Sub"),$B13="50% AMI",NOT($M13="Common")),AND($C13=4,NOT($J13=""),NOT($J13=0),NOT($J13="PHA Oper Sub"),$B13="HOME 50% AMI",NOT($M13="Common"))),$E13,"")</f>
        <v/>
      </c>
      <c r="AX13" s="113" t="str">
        <f t="shared" ref="AX13:AX20" si="237">IF(OR(AND($C13="Efficiency",NOT($J13=""),NOT($J13=0),NOT($J13="PHA Oper Sub"),$B13="60% AMI",NOT($M13="Common")),AND($C13="Efficiency",NOT($J13=""),NOT($J13=0),NOT($J13="PHA Oper Sub"),$B13="HOME 60% AMI",NOT($M13="Common"))),$E13,"")</f>
        <v/>
      </c>
      <c r="AY13" s="113" t="str">
        <f t="shared" ref="AY13:AY20" si="238">IF(OR(AND($C13=1,NOT($J13=""),NOT($J13=0),NOT($J13="PHA Oper Sub"),$B13="60% AMI",NOT($M13="Common")),AND($C13=1,NOT($J13=""),NOT($J13=0),NOT($J13="PHA Oper Sub"),$B13="HOME 60% AMI",NOT($M13="Common"))),$E13,"")</f>
        <v/>
      </c>
      <c r="AZ13" s="113" t="str">
        <f t="shared" ref="AZ13:AZ20" si="239">IF(OR(AND($C13=2,NOT($J13=""),NOT($J13=0),NOT($J13="PHA Oper Sub"),$B13="60% AMI",NOT($M13="Common")),AND($C13=2,NOT($J13=""),NOT($J13=0),NOT($J13="PHA Oper Sub"),$B13="HOME 60% AMI",NOT($M13="Common"))),$E13,"")</f>
        <v/>
      </c>
      <c r="BA13" s="113" t="str">
        <f t="shared" ref="BA13:BA20" si="240">IF(OR(AND($C13=3,NOT($J13=""),NOT($J13=0),NOT($J13="PHA Oper Sub"),$B13="60% AMI",NOT($M13="Common")),AND($C13=3,NOT($J13=""),NOT($J13=0),NOT($J13="PHA Oper Sub"),$B13="HOME 60% AMI",NOT($M13="Common"))),$E13,"")</f>
        <v/>
      </c>
      <c r="BB13" s="113" t="str">
        <f t="shared" ref="BB13:BB20" si="241">IF(OR(AND($C13=4,NOT($J13=""),NOT($J13=0),NOT($J13="PHA Oper Sub"),$B13="60% AMI",NOT($M13="Common")),AND($C13=4,NOT($J13=""),NOT($J13=0),NOT($J13="PHA Oper Sub"),$B13="HOME 60% AMI",NOT($M13="Common"))),$E13,"")</f>
        <v/>
      </c>
      <c r="BC13" s="113" t="str">
        <f t="shared" ref="BC13:BC20" si="242">IF(OR(AND($C13="Efficiency",$J13="PHA Oper Sub",$B13="30% AMI",NOT($M13="Common")),AND($C13="Efficiency",$J13="PHA Oper Sub",$B13="HOME 30% AMI",NOT($M13="Common"))),$E13,"")</f>
        <v/>
      </c>
      <c r="BD13" s="113" t="str">
        <f t="shared" ref="BD13:BD20" si="243">IF(OR(AND($C13=1,$J13="PHA Oper Sub",$B13="30% AMI",NOT($M13="Common")),AND($C13=1,$J13="PHA Oper Sub",$B13="HOME 30% AMI",NOT($M13="Common"))),$E13,"")</f>
        <v/>
      </c>
      <c r="BE13" s="113" t="str">
        <f t="shared" ref="BE13:BE20" si="244">IF(OR(AND($C13=2,$J13="PHA Oper Sub",$B13="30% AMI",NOT($M13="Common")),AND($C13=2,$J13="PHA Oper Sub",$B13="HOME 30% AMI",NOT($M13="Common"))),$E13,"")</f>
        <v/>
      </c>
      <c r="BF13" s="113" t="str">
        <f t="shared" ref="BF13:BF20" si="245">IF(OR(AND($C13=3,$J13="PHA Oper Sub",$B13="30% AMI",NOT($M13="Common")),AND($C13=3,$J13="PHA Oper Sub",$B13="HOME 30% AMI",NOT($M13="Common"))),$E13,"")</f>
        <v/>
      </c>
      <c r="BG13" s="113" t="str">
        <f t="shared" ref="BG13:BG20" si="246">IF(OR(AND($C13=4,$J13="PHA Oper Sub",$B13="30% AMI",NOT($M13="Common")),AND($C13=4,$J13="PHA Oper Sub",$B13="HOME 30% AMI",NOT($M13="Common"))),$E13,"")</f>
        <v/>
      </c>
      <c r="BH13" s="113" t="str">
        <f t="shared" ref="BH13:BH20" si="247">IF(OR(AND($C13="Efficiency",$J13="PHA Oper Sub",$B13="50% AMI",NOT($M13="Common")),AND($C13="Efficiency",$J13="PHA Oper Sub",$B13="HOME 50% AMI",NOT($M13="Common"))),$E13,"")</f>
        <v/>
      </c>
      <c r="BI13" s="113" t="str">
        <f t="shared" ref="BI13:BI20" si="248">IF(OR(AND($C13=1,$J13="PHA Oper Sub",,$B13="50% AMI",NOT($M13="Common")),AND($C13=1,$J13="PHA Oper Sub",$B13="HOME 50% AMI",NOT($M13="Common"))),$E13,"")</f>
        <v/>
      </c>
      <c r="BJ13" s="113" t="str">
        <f t="shared" ref="BJ13:BJ20" si="249">IF(OR(AND($C13=2,$J13="PHA Oper Sub",$B13="50% AMI",NOT($M13="Common")),AND($C13=2,$J13="PHA Oper Sub",$B13="HOME 50% AMI",NOT($M13="Common"))),$E13,"")</f>
        <v/>
      </c>
      <c r="BK13" s="113" t="str">
        <f t="shared" ref="BK13:BK20" si="250">IF(OR(AND($C13=3,$J13="PHA Oper Sub",$B13="50% AMI",NOT($M13="Common")),AND($C13=3,$J13="PHA Oper Sub",$B13="HOME 50% AMI",NOT($M13="Common"))),$E13,"")</f>
        <v/>
      </c>
      <c r="BL13" s="113" t="str">
        <f t="shared" ref="BL13:BL20" si="251">IF(OR(AND($C13=4,$J13="PHA Oper Sub",$B13="50% AMI",NOT($M13="Common")),AND($C13=4,$J13="PHA Oper Sub",$B13="HOME 50% AMI",NOT($M13="Common"))),$E13,"")</f>
        <v/>
      </c>
      <c r="BM13" s="113" t="str">
        <f t="shared" ref="BM13:BM20" si="252">IF(OR(AND($C13="Efficiency",$J13="PHA Oper Sub",$B13="60% AMI",NOT($M13="Common")),AND($C13="Efficiency",$J13="PHA Oper Sub",$B13="HOME 60% AMI",NOT($M13="Common"))),$E13,"")</f>
        <v/>
      </c>
      <c r="BN13" s="113" t="str">
        <f t="shared" ref="BN13:BN20" si="253">IF(OR(AND($C13=1,$J13="PHA Oper Sub",$B13="60% AMI",NOT($M13="Common")),AND($C13=1,$J13="PHA Oper Sub",$B13="HOME 60% AMI",NOT($M13="Common"))),$E13,"")</f>
        <v/>
      </c>
      <c r="BO13" s="113" t="str">
        <f t="shared" ref="BO13:BO20" si="254">IF(OR(AND($C13=2,$J13="PHA Oper Sub",$B13="60% AMI",NOT($M13="Common")),AND($C13=2,$J13="PHA Oper Sub",$B13="HOME 60% AMI",NOT($M13="Common"))),$E13,"")</f>
        <v/>
      </c>
      <c r="BP13" s="113" t="str">
        <f t="shared" ref="BP13:BP20" si="255">IF(OR(AND($C13=3,$J13="PHA Oper Sub",$B13="60% AMI",NOT($M13="Common")),AND($C13=3,$J13="PHA Oper Sub",$B13="HOME 60% AMI",NOT($M13="Common"))),$E13,"")</f>
        <v/>
      </c>
      <c r="BQ13" s="113" t="str">
        <f t="shared" ref="BQ13:BQ20" si="256">IF(OR(AND($C13=4,$J13="PHA Oper Sub",$B13="60% AMI",NOT($M13="Common")),AND($C13=4,$J13="PHA Oper Sub",$B13="HOME 60% AMI",NOT($M13="Common"))),$E13,"")</f>
        <v/>
      </c>
      <c r="BR13" s="113" t="str">
        <f t="shared" ref="BR13:BR20" si="257">IF(AND(C13="Efficiency",M13="Common"),E13,"")</f>
        <v/>
      </c>
      <c r="BS13" s="113" t="str">
        <f t="shared" ref="BS13:BS20" si="258">IF(AND(C13=1,M13="Common"),E13,"")</f>
        <v/>
      </c>
      <c r="BT13" s="113" t="str">
        <f t="shared" ref="BT13:BT20" si="259">IF(AND(C13=2,M13="Common"),E13,"")</f>
        <v/>
      </c>
      <c r="BU13" s="113" t="str">
        <f t="shared" ref="BU13:BU20" si="260">IF(AND(C13=3,M13="Common"),E13,"")</f>
        <v/>
      </c>
      <c r="BV13" s="113" t="str">
        <f t="shared" ref="BV13:BV20" si="261">IF(AND(C13=4,M13="Common"),E13,"")</f>
        <v/>
      </c>
      <c r="BW13" s="113" t="str">
        <f t="shared" ref="BW13:BW20" si="262">IF(OR(AND(C13="Efficiency",B13="60% AMI",NOT(M13="Common")),AND(C13="Efficiency",B13="HOME 60% AMI",NOT(M13="Common"))),E13*F13,"")</f>
        <v/>
      </c>
      <c r="BX13" s="113">
        <f t="shared" ref="BX13:BX20" si="263">IF(OR(AND(C13=1,B13="60% AMI",NOT(M13="Common")),AND(C13=1,B13="HOME 60% AMI",NOT(M13="Common"))),E13*F13,"")</f>
        <v>1436</v>
      </c>
      <c r="BY13" s="113" t="str">
        <f t="shared" ref="BY13:BY20" si="264">IF(OR(AND(C13=2,B13="60% AMI",NOT(M13="Common")),AND(C13=2,B13="HOME 60% AMI",NOT(M13="Common"))),E13*F13,"")</f>
        <v/>
      </c>
      <c r="BZ13" s="113" t="str">
        <f t="shared" ref="BZ13:BZ20" si="265">IF(OR(AND(C13=3,B13="60% AMI",NOT(M13="Common")),AND(C13=3,B13="HOME 60% AMI",NOT(M13="Common"))),E13*F13,"")</f>
        <v/>
      </c>
      <c r="CA13" s="113" t="str">
        <f t="shared" ref="CA13:CA20" si="266">IF(OR(AND(C13=4,B13="60% AMI",NOT(M13="Common")),AND(C13=4,B13="HOME 60% AMI",NOT(M13="Common"))),E13*F13,"")</f>
        <v/>
      </c>
      <c r="CB13" s="113" t="str">
        <f t="shared" ref="CB13:CB20" si="267">IF(OR(AND(C13="Efficiency",B13="50% AMI",NOT(M13="Common")),AND(C13="Efficiency",B13="HOME 50% AMI",NOT(M13="Common"))),E13*F13,"")</f>
        <v/>
      </c>
      <c r="CC13" s="113" t="str">
        <f t="shared" ref="CC13:CC20" si="268">IF(OR(AND(C13=1,B13="50% AMI",NOT(M13="Common")),AND(C13=1,B13="HOME 50% AMI",NOT(M13="Common"))),E13*F13,"")</f>
        <v/>
      </c>
      <c r="CD13" s="113" t="str">
        <f t="shared" ref="CD13:CD20" si="269">IF(OR(AND(C13=2,B13="50% AMI",NOT(M13="Common")),AND(C13=2,B13="HOME 50% AMI",NOT(M13="Common"))),E13*F13,"")</f>
        <v/>
      </c>
      <c r="CE13" s="113" t="str">
        <f t="shared" ref="CE13:CE20" si="270">IF(OR(AND(C13=3,B13="50% AMI",NOT(M13="Common")),AND(C13=3,B13="HOME 50% AMI",NOT(M13="Common"))),E13*F13,"")</f>
        <v/>
      </c>
      <c r="CF13" s="113" t="str">
        <f t="shared" ref="CF13:CF20" si="271">IF(OR(AND(C13=4,B13="50% AMI",NOT(M13="Common")),AND(C13=4,B13="HOME 50% AMI",NOT(M13="Common"))),E13*F13,"")</f>
        <v/>
      </c>
      <c r="CG13" s="113" t="str">
        <f t="shared" ref="CG13:CG20" si="272">IF(OR(AND(C13="Efficiency",B13="30% AMI",NOT(M13="Common")),AND(C13="Efficiency",B13="HOME 30% AMI",NOT(M13="Common"))),E13*F13,"")</f>
        <v/>
      </c>
      <c r="CH13" s="113" t="str">
        <f t="shared" ref="CH13:CH20" si="273">IF(OR(AND(C13=1,B13="30% AMI",NOT(M13="Common")),AND(C13=1,B13="HOME 30% AMI",NOT(M13="Common"))),E13*F13,"")</f>
        <v/>
      </c>
      <c r="CI13" s="113" t="str">
        <f t="shared" ref="CI13:CI20" si="274">IF(OR(AND(C13=2,B13="30% AMI",NOT(M13="Common")),AND(C13=2,B13="HOME 30% AMI",NOT(M13="Common"))),E13*F13,"")</f>
        <v/>
      </c>
      <c r="CJ13" s="113" t="str">
        <f t="shared" ref="CJ13:CJ20" si="275">IF(OR(AND(C13=3,B13="30% AMI",NOT(M13="Common")),AND(C13=3,B13="HOME 30% AMI",NOT(M13="Common"))),E13*F13,"")</f>
        <v/>
      </c>
      <c r="CK13" s="113" t="str">
        <f t="shared" ref="CK13:CK20" si="276">IF(OR(AND(C13=4,B13="30% AMI",NOT(M13="Common")),AND(C13=4,B13="HOME 30% AMI",NOT(M13="Common"))),E13*F13,"")</f>
        <v/>
      </c>
      <c r="CL13" s="113" t="str">
        <f t="shared" ref="CL13:CL20" si="277">IF(AND(C13="Efficiency",B13="Unrestricted",NOT(M13="Common")),E13*F13,"")</f>
        <v/>
      </c>
      <c r="CM13" s="113" t="str">
        <f t="shared" ref="CM13:CM20" si="278">IF(AND(C13=1,B13="Unrestricted",NOT(M13="Common")),E13*F13,"")</f>
        <v/>
      </c>
      <c r="CN13" s="113" t="str">
        <f t="shared" ref="CN13:CN20" si="279">IF(AND(C13=2,B13="Unrestricted",NOT(M13="Common")),E13*F13,"")</f>
        <v/>
      </c>
      <c r="CO13" s="113" t="str">
        <f t="shared" ref="CO13:CO20" si="280">IF(AND(C13=3,B13="Unrestricted",NOT(M13="Common")),E13*F13,"")</f>
        <v/>
      </c>
      <c r="CP13" s="113" t="str">
        <f t="shared" ref="CP13:CP20" si="281">IF(AND(C13=4,B13="Unrestricted",NOT(M13="Common")),E13*F13,"")</f>
        <v/>
      </c>
      <c r="CQ13" s="113" t="str">
        <f t="shared" ref="CQ13:CQ20" si="282">IF(AND(C13="Efficiency",NOT(J13=""),NOT($J13=0),NOT(M13="Common")),E13*F13,"")</f>
        <v/>
      </c>
      <c r="CR13" s="113" t="str">
        <f t="shared" ref="CR13:CR20" si="283">IF(AND(C13=1,NOT(J13=""),NOT($J13=0),NOT(M13="Common")),E13*F13,"")</f>
        <v/>
      </c>
      <c r="CS13" s="113" t="str">
        <f t="shared" ref="CS13:CS20" si="284">IF(AND(C13=2,NOT(J13=""),NOT($J13=0),NOT(M13="Common")),E13*F13,"")</f>
        <v/>
      </c>
      <c r="CT13" s="113" t="str">
        <f t="shared" ref="CT13:CT20" si="285">IF(AND(C13=3,NOT(J13=""),NOT($J13=0),NOT(M13="Common")),E13*F13,"")</f>
        <v/>
      </c>
      <c r="CU13" s="113" t="str">
        <f t="shared" ref="CU13:CU20" si="286">IF(AND(C13=4,NOT(J13=""),NOT($J13=0),NOT(M13="Common")),E13*F13,"")</f>
        <v/>
      </c>
      <c r="CV13" s="113" t="str">
        <f t="shared" ref="CV13:CV20" si="287">IF(AND(C13="Efficiency",M13="Common"),E13*F13,"")</f>
        <v/>
      </c>
      <c r="CW13" s="113" t="str">
        <f t="shared" ref="CW13:CW20" si="288">IF(AND(C13=1,M13="Common"),E13*F13,"")</f>
        <v/>
      </c>
      <c r="CX13" s="113" t="str">
        <f t="shared" ref="CX13:CX20" si="289">IF(AND(C13=2,M13="Common"),E13*F13,"")</f>
        <v/>
      </c>
      <c r="CY13" s="113" t="str">
        <f t="shared" ref="CY13:CY20" si="290">IF(AND(C13=3,M13="Common"),E13*F13,"")</f>
        <v/>
      </c>
      <c r="CZ13" s="113" t="str">
        <f t="shared" ref="CZ13:CZ20" si="291">IF(AND(C13=4,M13="Common"),E13*F13,"")</f>
        <v/>
      </c>
      <c r="DA13" s="113" t="str">
        <f t="shared" ref="DA13:DA20" si="292">IF(AND($C13="Efficiency", $O13="New Construction",NOT($B13="Unrestricted"),NOT($B13="NSP 120% AMI"),NOT($B13="N/A-CS"),NOT($M13="Common")),$E13,"")</f>
        <v/>
      </c>
      <c r="DB13" s="113" t="str">
        <f t="shared" ref="DB13:DB20" si="293">IF(AND($C13=1, $O13="New Construction",NOT($B13="Unrestricted"),NOT($B13="NSP 120% AMI"),NOT($B13="N/A-CS"),NOT($M13="Common")),$E13,"")</f>
        <v/>
      </c>
      <c r="DC13" s="113" t="str">
        <f t="shared" ref="DC13:DC20" si="294">IF(AND($C13=2, $O13="New Construction",NOT($B13="Unrestricted"),NOT($B13="NSP 120% AMI"),NOT($B13="N/A-CS"),NOT($M13="Common")),$E13,"")</f>
        <v/>
      </c>
      <c r="DD13" s="113" t="str">
        <f t="shared" ref="DD13:DD20" si="295">IF(AND($C13=3, $O13="New Construction",NOT($B13="Unrestricted"),NOT($B13="NSP 120% AMI"),NOT($B13="N/A-CS"),NOT($M13="Common")),$E13,"")</f>
        <v/>
      </c>
      <c r="DE13" s="113" t="str">
        <f t="shared" ref="DE13:DE20" si="296">IF(AND($C13=4, $O13="New Construction",NOT($B13="Unrestricted"),NOT($B13="NSP 120% AMI"),NOT($B13="N/A-CS"),NOT($M13="Common")),$E13,"")</f>
        <v/>
      </c>
      <c r="DF13" s="113" t="str">
        <f t="shared" ref="DF13:DF20" si="297">IF(AND($C13="Efficiency", $O13="New Construction",$B13="Unrestricted",NOT($B13="N/A-CS"),NOT($M13="Common")),$E13,"")</f>
        <v/>
      </c>
      <c r="DG13" s="113" t="str">
        <f t="shared" ref="DG13:DG20" si="298">IF(AND($C13=1, $O13="New Construction",$B13="Unrestricted",NOT($B13="N/A-CS"),NOT($M13="Common")),$E13,"")</f>
        <v/>
      </c>
      <c r="DH13" s="113" t="str">
        <f t="shared" ref="DH13:DH20" si="299">IF(AND($C13=2, $O13="New Construction",$B13="Unrestricted",NOT($B13="N/A-CS"),NOT($M13="Common")),$E13,"")</f>
        <v/>
      </c>
      <c r="DI13" s="113" t="str">
        <f t="shared" ref="DI13:DI20" si="300">IF(AND($C13=3, $O13="New Construction",$B13="Unrestricted",NOT($B13="N/A-CS"),NOT($M13="Common")),$E13,"")</f>
        <v/>
      </c>
      <c r="DJ13" s="113" t="str">
        <f t="shared" ref="DJ13:DJ20" si="301">IF(AND($C13=4, $O13="New Construction",$B13="Unrestricted",NOT($B13="N/A-CS"),NOT($M13="Common")),$E13,"")</f>
        <v/>
      </c>
      <c r="DK13" s="113" t="str">
        <f t="shared" ref="DK13:DK20" si="302">IF(AND($C13="Efficiency", $O13="New Construction",$B13="N/A-CS",$M13="Common"),$E13,"")</f>
        <v/>
      </c>
      <c r="DL13" s="113" t="str">
        <f t="shared" ref="DL13:DL20" si="303">IF(AND($C13=1, $O13="New Construction",$B13="N/A-CS",$M13="Common"),$E13,"")</f>
        <v/>
      </c>
      <c r="DM13" s="113" t="str">
        <f t="shared" ref="DM13:DM20" si="304">IF(AND($C13=2, $O13="New Construction",$B13="N/A-CS",$M13="Common"),$E13,"")</f>
        <v/>
      </c>
      <c r="DN13" s="113" t="str">
        <f t="shared" ref="DN13:DN20" si="305">IF(AND($C13=3, $O13="New Construction",$B13="N/A-CS",$M13="Common"),$E13,"")</f>
        <v/>
      </c>
      <c r="DO13" s="113" t="str">
        <f t="shared" ref="DO13:DO20" si="306">IF(AND($C13=4, $O13="New Construction",$B13="N/A-CS",$M13="Common"),$E13,"")</f>
        <v/>
      </c>
      <c r="DP13" s="113" t="str">
        <f t="shared" ref="DP13:DP20" si="307">IF(AND($C13="Efficiency", $O13="Acquisition/Rehab",NOT($B13="Unrestricted"),NOT($B13="NSP 120% AMI"),NOT($B13="N/A-CS"),NOT($M13="Common")),$E13,"")</f>
        <v/>
      </c>
      <c r="DQ13" s="113">
        <f t="shared" ref="DQ13:DQ20" si="308">IF(AND($C13=1, $O13="Acquisition/Rehab",NOT($B13="Unrestricted"),NOT($B13="NSP 120% AMI"),NOT($B13="N/A-CS"),NOT($M13="Common")),$E13,"")</f>
        <v>2</v>
      </c>
      <c r="DR13" s="113" t="str">
        <f t="shared" ref="DR13:DR20" si="309">IF(AND($C13=2, $O13="Acquisition/Rehab",NOT($B13="Unrestricted"),NOT($B13="NSP 120% AMI"),NOT($B13="N/A-CS"),NOT($M13="Common")),$E13,"")</f>
        <v/>
      </c>
      <c r="DS13" s="113" t="str">
        <f t="shared" ref="DS13:DS20" si="310">IF(AND($C13=3, $O13="Acquisition/Rehab",NOT($B13="Unrestricted"),NOT($B13="NSP 120% AMI"),NOT($B13="N/A-CS"),NOT($M13="Common")),$E13,"")</f>
        <v/>
      </c>
      <c r="DT13" s="113" t="str">
        <f t="shared" ref="DT13:DT20" si="311">IF(AND($C13=4, $O13="Acquisition/Rehab",NOT($B13="Unrestricted"),NOT($B13="NSP 120% AMI"),NOT($B13="N/A-CS"),NOT($M13="Common")),$E13,"")</f>
        <v/>
      </c>
      <c r="DU13" s="113" t="str">
        <f t="shared" ref="DU13:DU20" si="312">IF(AND($C13="Efficiency", $O13="Acquisition/Rehab",$B13="Unrestricted",NOT($B13="N/A-CS"),NOT($M13="Common")),$E13,"")</f>
        <v/>
      </c>
      <c r="DV13" s="113" t="str">
        <f t="shared" ref="DV13:DV20" si="313">IF(AND($C13=1, $O13="Acquisition/Rehab",$B13="Unrestricted",NOT($B13="N/A-CS"),NOT($M13="Common")),$E13,"")</f>
        <v/>
      </c>
      <c r="DW13" s="113" t="str">
        <f t="shared" ref="DW13:DW20" si="314">IF(AND($C13=2, $O13="Acquisition/Rehab",$B13="Unrestricted",NOT($B13="N/A-CS"),NOT($M13="Common")),$E13,"")</f>
        <v/>
      </c>
      <c r="DX13" s="113" t="str">
        <f t="shared" ref="DX13:DX20" si="315">IF(AND($C13=3, $O13="Acquisition/Rehab",$B13="Unrestricted",NOT($B13="N/A-CS"),NOT($M13="Common")),$E13,"")</f>
        <v/>
      </c>
      <c r="DY13" s="113" t="str">
        <f t="shared" ref="DY13:DY20" si="316">IF(AND($C13=4, $O13="Acquisition/Rehab",$B13="Unrestricted",NOT($B13="N/A-CS"),NOT($M13="Common")),$E13,"")</f>
        <v/>
      </c>
      <c r="DZ13" s="113" t="str">
        <f t="shared" ref="DZ13:DZ20" si="317">IF(AND($C13="Efficiency", $O13="Acquisition/Rehab",$B13="N/A-CS",$M13="Common"),$E13,"")</f>
        <v/>
      </c>
      <c r="EA13" s="113" t="str">
        <f t="shared" ref="EA13:EA20" si="318">IF(AND($C13=1, $O13="Acquisition/Rehab",$B13="N/A-CS",$M13="Common"),$E13,"")</f>
        <v/>
      </c>
      <c r="EB13" s="113" t="str">
        <f t="shared" ref="EB13:EB20" si="319">IF(AND($C13=2, $O13="Acquisition/Rehab",$B13="N/A-CS",$M13="Common"),$E13,"")</f>
        <v/>
      </c>
      <c r="EC13" s="113" t="str">
        <f t="shared" ref="EC13:EC20" si="320">IF(AND($C13=3, $O13="Acquisition/Rehab",$B13="N/A-CS",$M13="Common"),$E13,"")</f>
        <v/>
      </c>
      <c r="ED13" s="113" t="str">
        <f t="shared" ref="ED13:ED20" si="321">IF(AND($C13=4, $O13="Acquisition/Rehab",$B13="N/A-CS",$M13="Common"),$E13,"")</f>
        <v/>
      </c>
      <c r="EE13" s="113" t="str">
        <f t="shared" ref="EE13:EE20" si="322">IF(AND($C13="Efficiency", $O13="Rehabilitation",NOT($B13="Unrestricted"),NOT($B13="NSP 120% AMI"),NOT($B13="N/A-CS"),NOT($M13="Common")),$E13,"")</f>
        <v/>
      </c>
      <c r="EF13" s="113" t="str">
        <f t="shared" ref="EF13:EF20" si="323">IF(AND($C13=1, $O13="Rehabilitation",NOT($B13="Unrestricted"),NOT($B13="NSP 120% AMI"),NOT($B13="N/A-CS"),NOT($M13="Common")),$E13,"")</f>
        <v/>
      </c>
      <c r="EG13" s="113" t="str">
        <f t="shared" ref="EG13:EG20" si="324">IF(AND($C13=2, $O13="Rehabilitation",NOT($B13="Unrestricted"),NOT($B13="NSP 120% AMI"),NOT($B13="N/A-CS"),NOT($M13="Common")),$E13,"")</f>
        <v/>
      </c>
      <c r="EH13" s="113" t="str">
        <f t="shared" ref="EH13:EH20" si="325">IF(AND($C13=3, $O13="Rehabilitation",NOT($B13="Unrestricted"),NOT($B13="NSP 120% AMI"),NOT($B13="N/A-CS"),NOT($M13="Common")),$E13,"")</f>
        <v/>
      </c>
      <c r="EI13" s="113" t="str">
        <f t="shared" ref="EI13:EI20" si="326">IF(AND($C13=4, $O13="Rehabilitation",NOT($B13="Unrestricted"),NOT($B13="NSP 120% AMI"),NOT($B13="N/A-CS"),NOT($M13="Common")),$E13,"")</f>
        <v/>
      </c>
      <c r="EJ13" s="113" t="str">
        <f t="shared" ref="EJ13:EJ20" si="327">IF(AND($C13="Efficiency", $O13="Rehabilitation",$B13="Unrestricted",NOT($B13="N/A-CS"),NOT($M13="Common")),$E13,"")</f>
        <v/>
      </c>
      <c r="EK13" s="113" t="str">
        <f t="shared" ref="EK13:EK20" si="328">IF(AND($C13=1, $O13="Rehabilitation",$B13="Unrestricted",NOT($B13="N/A-CS"),NOT($M13="Common")),$E13,"")</f>
        <v/>
      </c>
      <c r="EL13" s="113" t="str">
        <f t="shared" ref="EL13:EL20" si="329">IF(AND($C13=2, $O13="Rehabilitation",$B13="Unrestricted",NOT($B13="N/A-CS"),NOT($M13="Common")),$E13,"")</f>
        <v/>
      </c>
      <c r="EM13" s="113" t="str">
        <f t="shared" ref="EM13:EM20" si="330">IF(AND($C13=3, $O13="Rehabilitation",$B13="Unrestricted",NOT($B13="N/A-CS"),NOT($M13="Common")),$E13,"")</f>
        <v/>
      </c>
      <c r="EN13" s="113" t="str">
        <f t="shared" ref="EN13:EN20" si="331">IF(AND($C13=4, $O13="Rehabilitation",$B13="Unrestricted",NOT($B13="N/A-CS"),NOT($M13="Common")),$E13,"")</f>
        <v/>
      </c>
      <c r="EO13" s="113" t="str">
        <f t="shared" ref="EO13:EO20" si="332">IF(AND($C13="Efficiency", $O13="Rehabilitation",$B13="N/A-CS",$M13="Common"),$E13,"")</f>
        <v/>
      </c>
      <c r="EP13" s="113" t="str">
        <f t="shared" ref="EP13:EP20" si="333">IF(AND($C13=1, $O13="Rehabilitation",$B13="N/A-CS",$M13="Common"),$E13,"")</f>
        <v/>
      </c>
      <c r="EQ13" s="113" t="str">
        <f t="shared" ref="EQ13:EQ20" si="334">IF(AND($C13=2, $O13="Rehabilitation",$B13="N/A-CS",$M13="Common"),$E13,"")</f>
        <v/>
      </c>
      <c r="ER13" s="113" t="str">
        <f t="shared" ref="ER13:ER20" si="335">IF(AND($C13=3, $O13="Rehabilitation",$B13="N/A-CS",$M13="Common"),$E13,"")</f>
        <v/>
      </c>
      <c r="ES13" s="113" t="str">
        <f t="shared" ref="ES13:ES20" si="336">IF(AND($C13=4, $O13="Rehabilitation",$B13="N/A-CS",$M13="Common"),$E13,"")</f>
        <v/>
      </c>
      <c r="ET13" s="660" t="str">
        <f t="shared" ref="ET13:ET20" si="337">IF(AND($C13="Efficiency", NOT(OR($N13="SF Detached",$N13="Mfd Home",$N13="Duplex",$N13="Townhome"))),$E13,"")</f>
        <v/>
      </c>
      <c r="EU13" s="660">
        <f t="shared" ref="EU13:EU20" si="338">IF(AND($C13=1, NOT(OR($N13="SF Detached",$N13="Mfd Home",$N13="Duplex",$N13="Townhome"))),$E13,"")</f>
        <v>2</v>
      </c>
      <c r="EV13" s="660" t="str">
        <f t="shared" ref="EV13:EV20" si="339">IF(AND($C13=2, NOT(OR($N13="SF Detached",$N13="Mfd Home",$N13="Duplex",$N13="Townhome"))),$E13,"")</f>
        <v/>
      </c>
      <c r="EW13" s="660" t="str">
        <f t="shared" ref="EW13:EW20" si="340">IF(AND($C13=3, NOT(OR($N13="SF Detached",$N13="Mfd Home",$N13="Duplex",$N13="Townhome"))),$E13,"")</f>
        <v/>
      </c>
      <c r="EX13" s="660" t="str">
        <f t="shared" ref="EX13:EX20" si="341">IF(AND($C13=4, NOT(OR($N13="SF Detached",$N13="Mfd Home",$N13="Duplex",$N13="Townhome"))),$E13,"")</f>
        <v/>
      </c>
      <c r="EY13" s="660" t="str">
        <f t="shared" ref="EY13:EY20" si="342">IF(AND($C13="Efficiency", $N13="SF Detached"),$E13,"")</f>
        <v/>
      </c>
      <c r="EZ13" s="660" t="str">
        <f t="shared" ref="EZ13:EZ20" si="343">IF(AND($C13=1, $N13="SF Detached"),$E13,"")</f>
        <v/>
      </c>
      <c r="FA13" s="660" t="str">
        <f t="shared" ref="FA13:FA20" si="344">IF(AND($C13=2, $N13="SF Detached"),$E13,"")</f>
        <v/>
      </c>
      <c r="FB13" s="660" t="str">
        <f t="shared" ref="FB13:FB20" si="345">IF(AND($C13=3, $N13="SF Detached"),$E13,"")</f>
        <v/>
      </c>
      <c r="FC13" s="660" t="str">
        <f t="shared" ref="FC13:FC20" si="346">IF(AND($C13=4, $N13="SF Detached"),$E13,"")</f>
        <v/>
      </c>
      <c r="FD13" s="660" t="str">
        <f t="shared" ref="FD13:FD20" si="347">IF(AND($C13="Efficiency", $N13="MH"),$E13,"")</f>
        <v/>
      </c>
      <c r="FE13" s="660" t="str">
        <f t="shared" ref="FE13:FE20" si="348">IF(AND($C13=1, $N13="MH"),$E13,"")</f>
        <v/>
      </c>
      <c r="FF13" s="660" t="str">
        <f t="shared" ref="FF13:FF20" si="349">IF(AND($C13=2, $N13="MH"),$E13,"")</f>
        <v/>
      </c>
      <c r="FG13" s="660" t="str">
        <f t="shared" ref="FG13:FG20" si="350">IF(AND($C13=3, $N13="MH"),$E13,"")</f>
        <v/>
      </c>
      <c r="FH13" s="660" t="str">
        <f t="shared" ref="FH13:FH20" si="351">IF(AND($C13=4, $N13="MH"),$E13,"")</f>
        <v/>
      </c>
      <c r="FI13" s="660" t="str">
        <f t="shared" ref="FI13:FI20" si="352">IF(AND($C13="Efficiency", $N13="Duplex"),$E13,"")</f>
        <v/>
      </c>
      <c r="FJ13" s="660" t="str">
        <f t="shared" ref="FJ13:FJ20" si="353">IF(AND($C13=1, $N13="Duplex"),$E13,"")</f>
        <v/>
      </c>
      <c r="FK13" s="660" t="str">
        <f t="shared" ref="FK13:FK20" si="354">IF(AND($C13=2, $N13="Duplex"),$E13,"")</f>
        <v/>
      </c>
      <c r="FL13" s="660" t="str">
        <f t="shared" ref="FL13:FL20" si="355">IF(AND($C13=3, $N13="Duplex"),$E13,"")</f>
        <v/>
      </c>
      <c r="FM13" s="660" t="str">
        <f t="shared" ref="FM13:FM20" si="356">IF(AND($C13=4, $N13="Duplex"),$E13,"")</f>
        <v/>
      </c>
      <c r="FN13" s="660" t="str">
        <f t="shared" ref="FN13:FN20" si="357">IF(AND($C13="Efficiency", $N13="Townhome"),$E13,"")</f>
        <v/>
      </c>
      <c r="FO13" s="660" t="str">
        <f t="shared" ref="FO13:FO20" si="358">IF(AND($C13=1, $N13="Townhome"),$E13,"")</f>
        <v/>
      </c>
      <c r="FP13" s="660" t="str">
        <f t="shared" ref="FP13:FP20" si="359">IF(AND($C13=2, $N13="Townhome"),$E13,"")</f>
        <v/>
      </c>
      <c r="FQ13" s="660" t="str">
        <f t="shared" ref="FQ13:FQ20" si="360">IF(AND($C13=3, $N13="Townhome"),$E13,"")</f>
        <v/>
      </c>
      <c r="FR13" s="660" t="str">
        <f t="shared" ref="FR13:FR20" si="361">IF(AND($C13=4, $N13="Townhome"),$E13,"")</f>
        <v/>
      </c>
      <c r="FS13" s="660" t="str">
        <f t="shared" ref="FS13:FS20" si="362">IF(AND($C13="Efficiency", $N13="1-Story"),$E13,"")</f>
        <v/>
      </c>
      <c r="FT13" s="660" t="str">
        <f t="shared" ref="FT13:FT20" si="363">IF(AND($C13=1, $N13="1-Story"),$E13,"")</f>
        <v/>
      </c>
      <c r="FU13" s="660" t="str">
        <f t="shared" ref="FU13:FU20" si="364">IF(AND($C13=2, $N13="1-Story"),$E13,"")</f>
        <v/>
      </c>
      <c r="FV13" s="660" t="str">
        <f t="shared" ref="FV13:FV20" si="365">IF(AND($C13=3, $N13="1-Story"),$E13,"")</f>
        <v/>
      </c>
      <c r="FW13" s="660" t="str">
        <f t="shared" ref="FW13:FW20" si="366">IF(AND($C13=4, $N13="1-Story"),$E13,"")</f>
        <v/>
      </c>
      <c r="FX13" s="660" t="str">
        <f t="shared" ref="FX13:FX20" si="367">IF(AND($C13="Efficiency", $N13="2-Story"),$E13,"")</f>
        <v/>
      </c>
      <c r="FY13" s="660">
        <f t="shared" ref="FY13:FY20" si="368">IF(AND($C13=1, $N13="2-Story"),$E13,"")</f>
        <v>2</v>
      </c>
      <c r="FZ13" s="660" t="str">
        <f t="shared" ref="FZ13:FZ20" si="369">IF(AND($C13=2, $N13="2-Story"),$E13,"")</f>
        <v/>
      </c>
      <c r="GA13" s="660" t="str">
        <f t="shared" ref="GA13:GA20" si="370">IF(AND($C13=3, $N13="2-Story"),$E13,"")</f>
        <v/>
      </c>
      <c r="GB13" s="660" t="str">
        <f t="shared" ref="GB13:GB20" si="371">IF(AND($C13=4, $N13="2-Story"),$E13,"")</f>
        <v/>
      </c>
      <c r="GC13" s="660" t="str">
        <f t="shared" ref="GC13:GC20" si="372">IF(AND($C13="Efficiency", $N13="2-Story Walkup"),$E13,"")</f>
        <v/>
      </c>
      <c r="GD13" s="660" t="str">
        <f t="shared" ref="GD13:GD20" si="373">IF(AND($C13=1, $N13="2-Story Walkup"),$E13,"")</f>
        <v/>
      </c>
      <c r="GE13" s="660" t="str">
        <f t="shared" ref="GE13:GE20" si="374">IF(AND($C13=2, $N13="2-Story Walkup"),$E13,"")</f>
        <v/>
      </c>
      <c r="GF13" s="660" t="str">
        <f t="shared" ref="GF13:GF20" si="375">IF(AND($C13=3, $N13="2-Story Walkup"),$E13,"")</f>
        <v/>
      </c>
      <c r="GG13" s="660" t="str">
        <f t="shared" ref="GG13:GG20" si="376">IF(AND($C13=4, $N13="2-Story Walkup"),$E13,"")</f>
        <v/>
      </c>
      <c r="GH13" s="660" t="str">
        <f t="shared" ref="GH13:GH20" si="377">IF(AND($C13="Efficiency", $N13="3+ Story"),$E13,"")</f>
        <v/>
      </c>
      <c r="GI13" s="660" t="str">
        <f t="shared" ref="GI13:GI20" si="378">IF(AND($C13=1, $N13="3+ Story"),$E13,"")</f>
        <v/>
      </c>
      <c r="GJ13" s="660" t="str">
        <f t="shared" ref="GJ13:GJ20" si="379">IF(AND($C13=2, $N13="3+ Story"),$E13,"")</f>
        <v/>
      </c>
      <c r="GK13" s="660" t="str">
        <f t="shared" ref="GK13:GK20" si="380">IF(AND($C13=3, $N13="3+ Story"),$E13,"")</f>
        <v/>
      </c>
      <c r="GL13" s="660" t="str">
        <f t="shared" ref="GL13:GL20" si="381">IF(AND($C13=4, $N13="3+ Story"),$E13,"")</f>
        <v/>
      </c>
      <c r="GM13" s="661" t="str">
        <f t="shared" ref="GM13:GM20" si="382">IF(AND($B13="NSP 120% AMI",$C13="Efficiency", NOT($M13="Common")),$E13,"")</f>
        <v/>
      </c>
      <c r="GN13" s="661" t="str">
        <f t="shared" ref="GN13:GN20" si="383">IF(AND($B13="NSP 120% AMI",$C13=1,NOT($M13="Common")),$E13,"")</f>
        <v/>
      </c>
      <c r="GO13" s="661" t="str">
        <f t="shared" ref="GO13:GO20" si="384">IF(AND($B13="NSP 120% AMI",$C13=2,NOT($M13="Common")),$E13,"")</f>
        <v/>
      </c>
      <c r="GP13" s="661" t="str">
        <f t="shared" ref="GP13:GP20" si="385">IF(AND($B13="NSP 120% AMI",$C13=3,NOT($M13="Common")),$E13,"")</f>
        <v/>
      </c>
      <c r="GQ13" s="661" t="str">
        <f t="shared" ref="GQ13:GQ20" si="386">IF(AND($B13="NSP 120% AMI",$C13=4,NOT($M13="Common")),$E13,"")</f>
        <v/>
      </c>
      <c r="GR13" s="113" t="str">
        <f t="shared" ref="GR13:GR20" si="387">IF(AND(C13="Efficiency",B13="NSP 120% AMI",NOT(M13="Common")),E13*F13,"")</f>
        <v/>
      </c>
      <c r="GS13" s="113" t="str">
        <f t="shared" ref="GS13:GS20" si="388">IF(AND(C13=1,B13="NSP 120% AMI",NOT(M13="Common")),E13*F13,"")</f>
        <v/>
      </c>
      <c r="GT13" s="113" t="str">
        <f t="shared" ref="GT13:GT20" si="389">IF(AND(C13=2,B13="NSP 120% AMI",NOT(M13="Common")),E13*F13,"")</f>
        <v/>
      </c>
      <c r="GU13" s="113" t="str">
        <f t="shared" ref="GU13:GU20" si="390">IF(AND(C13=3,B13="NSP 120% AMI",NOT(M13="Common")),E13*F13,"")</f>
        <v/>
      </c>
      <c r="GV13" s="113" t="str">
        <f t="shared" ref="GV13:GV20" si="391">IF(AND(C13=4,B13="NSP 120% AMI",NOT(M13="Common")),E13*F13,"")</f>
        <v/>
      </c>
      <c r="GW13" s="113" t="str">
        <f t="shared" ref="GW13:GW20" si="392">IF(AND($C13="Efficiency", $O13="New Construction",$B13="NSP 120% AMI",NOT($M13="Common")),$E13,"")</f>
        <v/>
      </c>
      <c r="GX13" s="113" t="str">
        <f t="shared" ref="GX13:GX20" si="393">IF(AND($C13=1, $O13="New Construction",$B13="NSP 120% AMI",NOT($M13="Common")),$E13,"")</f>
        <v/>
      </c>
      <c r="GY13" s="113" t="str">
        <f t="shared" ref="GY13:GY20" si="394">IF(AND($C13=2, $O13="New Construction",$B13="NSP 120% AMI",NOT($M13="Common")),$E13,"")</f>
        <v/>
      </c>
      <c r="GZ13" s="113" t="str">
        <f t="shared" ref="GZ13:GZ20" si="395">IF(AND($C13=3, $O13="New Construction",$B13="NSP 120% AMI",NOT($M13="Common")),$E13,"")</f>
        <v/>
      </c>
      <c r="HA13" s="113" t="str">
        <f t="shared" ref="HA13:HA20" si="396">IF(AND($C13=4, $O13="New Construction",$B13="NSP 120% AMI",NOT($M13="Common")),$E13,"")</f>
        <v/>
      </c>
      <c r="HB13" s="113" t="str">
        <f t="shared" ref="HB13:HB20" si="397">IF(AND($C13="Efficiency", $O13="Acquisition/Rehab",$B13="NSP 120% AMI",NOT($M13="Common")),$E13,"")</f>
        <v/>
      </c>
      <c r="HC13" s="113" t="str">
        <f t="shared" ref="HC13:HC20" si="398">IF(AND($C13=1, $O13="Acquisition/Rehab",$B13="NSP 120% AMI",NOT($M13="Common")),$E13,"")</f>
        <v/>
      </c>
      <c r="HD13" s="113" t="str">
        <f t="shared" ref="HD13:HD20" si="399">IF(AND($C13=2, $O13="Acquisition/Rehab",$B13="NSP 120% AMI",NOT($M13="Common")),$E13,"")</f>
        <v/>
      </c>
      <c r="HE13" s="113" t="str">
        <f t="shared" ref="HE13:HE20" si="400">IF(AND($C13=3, $O13="Acquisition/Rehab",$B13="NSP 120% AMI",NOT($M13="Common")),$E13,"")</f>
        <v/>
      </c>
      <c r="HF13" s="113" t="str">
        <f t="shared" ref="HF13:HF20" si="401">IF(AND($C13=4, $O13="Acquisition/Rehab",$B13="NSP 120% AMI",NOT($M13="Common")),$E13,"")</f>
        <v/>
      </c>
      <c r="HG13" s="113" t="str">
        <f t="shared" ref="HG13:HG20" si="402">IF(AND($C13="Efficiency", $O13="Rehabilitation",$B13="NSP 120% AMI",NOT($M13="Common")),$E13,"")</f>
        <v/>
      </c>
      <c r="HH13" s="113" t="str">
        <f t="shared" ref="HH13:HH20" si="403">IF(AND($C13=1, $O13="Rehabilitation",$B13="NSP 120% AMI",NOT($M13="Common")),$E13,"")</f>
        <v/>
      </c>
      <c r="HI13" s="113" t="str">
        <f t="shared" ref="HI13:HI20" si="404">IF(AND($C13=2, $O13="Rehabilitation",$B13="NSP 120% AMI",NOT($M13="Common")),$E13,"")</f>
        <v/>
      </c>
      <c r="HJ13" s="113" t="str">
        <f t="shared" ref="HJ13:HJ20" si="405">IF(AND($C13=3, $O13="Rehabilitation",$B13="NSP 120% AMI",NOT($M13="Common")),$E13,"")</f>
        <v/>
      </c>
      <c r="HK13" s="113" t="str">
        <f t="shared" ref="HK13:HK20" si="406">IF(AND($C13=4, $O13="Rehabilitation",$B13="NSP 120% AMI",NOT($M13="Common")),$E13,"")</f>
        <v/>
      </c>
    </row>
    <row r="14" spans="1:219" ht="13.2" customHeight="1">
      <c r="A14" s="146" t="str">
        <f t="shared" si="204"/>
        <v/>
      </c>
      <c r="B14" s="836" t="s">
        <v>1790</v>
      </c>
      <c r="C14" s="837">
        <v>2</v>
      </c>
      <c r="D14" s="838">
        <v>1</v>
      </c>
      <c r="E14" s="839">
        <v>10</v>
      </c>
      <c r="F14" s="839">
        <v>855</v>
      </c>
      <c r="G14" s="839">
        <v>706</v>
      </c>
      <c r="H14" s="839">
        <v>537</v>
      </c>
      <c r="I14" s="839">
        <v>134</v>
      </c>
      <c r="J14" s="840" t="s">
        <v>4030</v>
      </c>
      <c r="K14" s="227">
        <f t="shared" si="205"/>
        <v>403</v>
      </c>
      <c r="L14" s="227">
        <f t="shared" si="206"/>
        <v>4030</v>
      </c>
      <c r="M14" s="841" t="s">
        <v>3919</v>
      </c>
      <c r="N14" s="841" t="s">
        <v>3985</v>
      </c>
      <c r="O14" s="841" t="s">
        <v>3986</v>
      </c>
      <c r="P14" s="581">
        <f t="shared" si="1"/>
        <v>21480</v>
      </c>
      <c r="Q14" s="582">
        <f>IF(H14="","",P14/($P$6*VLOOKUP(C14,'DCA Underwriting Assumptions'!$J$77:$K$82,2,FALSE)))</f>
        <v>0.46705805609915196</v>
      </c>
      <c r="R14" s="739"/>
      <c r="S14" s="659"/>
      <c r="T14" s="113" t="str">
        <f t="shared" si="207"/>
        <v/>
      </c>
      <c r="U14" s="113" t="str">
        <f t="shared" si="208"/>
        <v/>
      </c>
      <c r="V14" s="113">
        <f t="shared" si="209"/>
        <v>10</v>
      </c>
      <c r="W14" s="113" t="str">
        <f t="shared" si="210"/>
        <v/>
      </c>
      <c r="X14" s="113" t="str">
        <f t="shared" si="211"/>
        <v/>
      </c>
      <c r="Y14" s="113" t="str">
        <f t="shared" si="212"/>
        <v/>
      </c>
      <c r="Z14" s="113" t="str">
        <f t="shared" si="213"/>
        <v/>
      </c>
      <c r="AA14" s="113" t="str">
        <f t="shared" si="214"/>
        <v/>
      </c>
      <c r="AB14" s="113" t="str">
        <f t="shared" si="215"/>
        <v/>
      </c>
      <c r="AC14" s="113" t="str">
        <f t="shared" si="216"/>
        <v/>
      </c>
      <c r="AD14" s="113" t="str">
        <f t="shared" si="217"/>
        <v/>
      </c>
      <c r="AE14" s="113" t="str">
        <f t="shared" si="218"/>
        <v/>
      </c>
      <c r="AF14" s="113" t="str">
        <f t="shared" si="219"/>
        <v/>
      </c>
      <c r="AG14" s="113" t="str">
        <f t="shared" si="220"/>
        <v/>
      </c>
      <c r="AH14" s="113" t="str">
        <f t="shared" si="221"/>
        <v/>
      </c>
      <c r="AI14" s="113" t="str">
        <f t="shared" si="222"/>
        <v/>
      </c>
      <c r="AJ14" s="113" t="str">
        <f t="shared" si="223"/>
        <v/>
      </c>
      <c r="AK14" s="113" t="str">
        <f t="shared" si="224"/>
        <v/>
      </c>
      <c r="AL14" s="113" t="str">
        <f t="shared" si="225"/>
        <v/>
      </c>
      <c r="AM14" s="113" t="str">
        <f t="shared" si="226"/>
        <v/>
      </c>
      <c r="AN14" s="113" t="str">
        <f t="shared" si="227"/>
        <v/>
      </c>
      <c r="AO14" s="113" t="str">
        <f t="shared" si="228"/>
        <v/>
      </c>
      <c r="AP14" s="113" t="str">
        <f t="shared" si="229"/>
        <v/>
      </c>
      <c r="AQ14" s="113" t="str">
        <f t="shared" si="230"/>
        <v/>
      </c>
      <c r="AR14" s="113" t="str">
        <f t="shared" si="231"/>
        <v/>
      </c>
      <c r="AS14" s="113" t="str">
        <f t="shared" si="232"/>
        <v/>
      </c>
      <c r="AT14" s="113" t="str">
        <f t="shared" si="233"/>
        <v/>
      </c>
      <c r="AU14" s="113" t="str">
        <f t="shared" si="234"/>
        <v/>
      </c>
      <c r="AV14" s="113" t="str">
        <f t="shared" si="235"/>
        <v/>
      </c>
      <c r="AW14" s="113" t="str">
        <f t="shared" si="236"/>
        <v/>
      </c>
      <c r="AX14" s="113" t="str">
        <f t="shared" si="237"/>
        <v/>
      </c>
      <c r="AY14" s="113" t="str">
        <f t="shared" si="238"/>
        <v/>
      </c>
      <c r="AZ14" s="113">
        <f t="shared" si="239"/>
        <v>10</v>
      </c>
      <c r="BA14" s="113" t="str">
        <f t="shared" si="240"/>
        <v/>
      </c>
      <c r="BB14" s="113" t="str">
        <f t="shared" si="241"/>
        <v/>
      </c>
      <c r="BC14" s="113" t="str">
        <f t="shared" si="242"/>
        <v/>
      </c>
      <c r="BD14" s="113" t="str">
        <f t="shared" si="243"/>
        <v/>
      </c>
      <c r="BE14" s="113" t="str">
        <f t="shared" si="244"/>
        <v/>
      </c>
      <c r="BF14" s="113" t="str">
        <f t="shared" si="245"/>
        <v/>
      </c>
      <c r="BG14" s="113" t="str">
        <f t="shared" si="246"/>
        <v/>
      </c>
      <c r="BH14" s="113" t="str">
        <f t="shared" si="247"/>
        <v/>
      </c>
      <c r="BI14" s="113" t="str">
        <f t="shared" si="248"/>
        <v/>
      </c>
      <c r="BJ14" s="113" t="str">
        <f t="shared" si="249"/>
        <v/>
      </c>
      <c r="BK14" s="113" t="str">
        <f t="shared" si="250"/>
        <v/>
      </c>
      <c r="BL14" s="113" t="str">
        <f t="shared" si="251"/>
        <v/>
      </c>
      <c r="BM14" s="113" t="str">
        <f t="shared" si="252"/>
        <v/>
      </c>
      <c r="BN14" s="113" t="str">
        <f t="shared" si="253"/>
        <v/>
      </c>
      <c r="BO14" s="113" t="str">
        <f t="shared" si="254"/>
        <v/>
      </c>
      <c r="BP14" s="113" t="str">
        <f t="shared" si="255"/>
        <v/>
      </c>
      <c r="BQ14" s="113" t="str">
        <f t="shared" si="256"/>
        <v/>
      </c>
      <c r="BR14" s="113" t="str">
        <f t="shared" si="257"/>
        <v/>
      </c>
      <c r="BS14" s="113" t="str">
        <f t="shared" si="258"/>
        <v/>
      </c>
      <c r="BT14" s="113" t="str">
        <f t="shared" si="259"/>
        <v/>
      </c>
      <c r="BU14" s="113" t="str">
        <f t="shared" si="260"/>
        <v/>
      </c>
      <c r="BV14" s="113" t="str">
        <f t="shared" si="261"/>
        <v/>
      </c>
      <c r="BW14" s="113" t="str">
        <f t="shared" si="262"/>
        <v/>
      </c>
      <c r="BX14" s="113" t="str">
        <f t="shared" si="263"/>
        <v/>
      </c>
      <c r="BY14" s="113">
        <f t="shared" si="264"/>
        <v>8550</v>
      </c>
      <c r="BZ14" s="113" t="str">
        <f t="shared" si="265"/>
        <v/>
      </c>
      <c r="CA14" s="113" t="str">
        <f t="shared" si="266"/>
        <v/>
      </c>
      <c r="CB14" s="113" t="str">
        <f t="shared" si="267"/>
        <v/>
      </c>
      <c r="CC14" s="113" t="str">
        <f t="shared" si="268"/>
        <v/>
      </c>
      <c r="CD14" s="113" t="str">
        <f t="shared" si="269"/>
        <v/>
      </c>
      <c r="CE14" s="113" t="str">
        <f t="shared" si="270"/>
        <v/>
      </c>
      <c r="CF14" s="113" t="str">
        <f t="shared" si="271"/>
        <v/>
      </c>
      <c r="CG14" s="113" t="str">
        <f t="shared" si="272"/>
        <v/>
      </c>
      <c r="CH14" s="113" t="str">
        <f t="shared" si="273"/>
        <v/>
      </c>
      <c r="CI14" s="113" t="str">
        <f t="shared" si="274"/>
        <v/>
      </c>
      <c r="CJ14" s="113" t="str">
        <f t="shared" si="275"/>
        <v/>
      </c>
      <c r="CK14" s="113" t="str">
        <f t="shared" si="276"/>
        <v/>
      </c>
      <c r="CL14" s="113" t="str">
        <f t="shared" si="277"/>
        <v/>
      </c>
      <c r="CM14" s="113" t="str">
        <f t="shared" si="278"/>
        <v/>
      </c>
      <c r="CN14" s="113" t="str">
        <f t="shared" si="279"/>
        <v/>
      </c>
      <c r="CO14" s="113" t="str">
        <f t="shared" si="280"/>
        <v/>
      </c>
      <c r="CP14" s="113" t="str">
        <f t="shared" si="281"/>
        <v/>
      </c>
      <c r="CQ14" s="113" t="str">
        <f t="shared" si="282"/>
        <v/>
      </c>
      <c r="CR14" s="113" t="str">
        <f t="shared" si="283"/>
        <v/>
      </c>
      <c r="CS14" s="113">
        <f t="shared" si="284"/>
        <v>8550</v>
      </c>
      <c r="CT14" s="113" t="str">
        <f t="shared" si="285"/>
        <v/>
      </c>
      <c r="CU14" s="113" t="str">
        <f t="shared" si="286"/>
        <v/>
      </c>
      <c r="CV14" s="113" t="str">
        <f t="shared" si="287"/>
        <v/>
      </c>
      <c r="CW14" s="113" t="str">
        <f t="shared" si="288"/>
        <v/>
      </c>
      <c r="CX14" s="113" t="str">
        <f t="shared" si="289"/>
        <v/>
      </c>
      <c r="CY14" s="113" t="str">
        <f t="shared" si="290"/>
        <v/>
      </c>
      <c r="CZ14" s="113" t="str">
        <f t="shared" si="291"/>
        <v/>
      </c>
      <c r="DA14" s="113" t="str">
        <f t="shared" si="292"/>
        <v/>
      </c>
      <c r="DB14" s="113" t="str">
        <f t="shared" si="293"/>
        <v/>
      </c>
      <c r="DC14" s="113" t="str">
        <f t="shared" si="294"/>
        <v/>
      </c>
      <c r="DD14" s="113" t="str">
        <f t="shared" si="295"/>
        <v/>
      </c>
      <c r="DE14" s="113" t="str">
        <f t="shared" si="296"/>
        <v/>
      </c>
      <c r="DF14" s="113" t="str">
        <f t="shared" si="297"/>
        <v/>
      </c>
      <c r="DG14" s="113" t="str">
        <f t="shared" si="298"/>
        <v/>
      </c>
      <c r="DH14" s="113" t="str">
        <f t="shared" si="299"/>
        <v/>
      </c>
      <c r="DI14" s="113" t="str">
        <f t="shared" si="300"/>
        <v/>
      </c>
      <c r="DJ14" s="113" t="str">
        <f t="shared" si="301"/>
        <v/>
      </c>
      <c r="DK14" s="113" t="str">
        <f t="shared" si="302"/>
        <v/>
      </c>
      <c r="DL14" s="113" t="str">
        <f t="shared" si="303"/>
        <v/>
      </c>
      <c r="DM14" s="113" t="str">
        <f t="shared" si="304"/>
        <v/>
      </c>
      <c r="DN14" s="113" t="str">
        <f t="shared" si="305"/>
        <v/>
      </c>
      <c r="DO14" s="113" t="str">
        <f t="shared" si="306"/>
        <v/>
      </c>
      <c r="DP14" s="113" t="str">
        <f t="shared" si="307"/>
        <v/>
      </c>
      <c r="DQ14" s="113" t="str">
        <f t="shared" si="308"/>
        <v/>
      </c>
      <c r="DR14" s="113">
        <f t="shared" si="309"/>
        <v>10</v>
      </c>
      <c r="DS14" s="113" t="str">
        <f t="shared" si="310"/>
        <v/>
      </c>
      <c r="DT14" s="113" t="str">
        <f t="shared" si="311"/>
        <v/>
      </c>
      <c r="DU14" s="113" t="str">
        <f t="shared" si="312"/>
        <v/>
      </c>
      <c r="DV14" s="113" t="str">
        <f t="shared" si="313"/>
        <v/>
      </c>
      <c r="DW14" s="113" t="str">
        <f t="shared" si="314"/>
        <v/>
      </c>
      <c r="DX14" s="113" t="str">
        <f t="shared" si="315"/>
        <v/>
      </c>
      <c r="DY14" s="113" t="str">
        <f t="shared" si="316"/>
        <v/>
      </c>
      <c r="DZ14" s="113" t="str">
        <f t="shared" si="317"/>
        <v/>
      </c>
      <c r="EA14" s="113" t="str">
        <f t="shared" si="318"/>
        <v/>
      </c>
      <c r="EB14" s="113" t="str">
        <f t="shared" si="319"/>
        <v/>
      </c>
      <c r="EC14" s="113" t="str">
        <f t="shared" si="320"/>
        <v/>
      </c>
      <c r="ED14" s="113" t="str">
        <f t="shared" si="321"/>
        <v/>
      </c>
      <c r="EE14" s="113" t="str">
        <f t="shared" si="322"/>
        <v/>
      </c>
      <c r="EF14" s="113" t="str">
        <f t="shared" si="323"/>
        <v/>
      </c>
      <c r="EG14" s="113" t="str">
        <f t="shared" si="324"/>
        <v/>
      </c>
      <c r="EH14" s="113" t="str">
        <f t="shared" si="325"/>
        <v/>
      </c>
      <c r="EI14" s="113" t="str">
        <f t="shared" si="326"/>
        <v/>
      </c>
      <c r="EJ14" s="113" t="str">
        <f t="shared" si="327"/>
        <v/>
      </c>
      <c r="EK14" s="113" t="str">
        <f t="shared" si="328"/>
        <v/>
      </c>
      <c r="EL14" s="113" t="str">
        <f t="shared" si="329"/>
        <v/>
      </c>
      <c r="EM14" s="113" t="str">
        <f t="shared" si="330"/>
        <v/>
      </c>
      <c r="EN14" s="113" t="str">
        <f t="shared" si="331"/>
        <v/>
      </c>
      <c r="EO14" s="113" t="str">
        <f t="shared" si="332"/>
        <v/>
      </c>
      <c r="EP14" s="113" t="str">
        <f t="shared" si="333"/>
        <v/>
      </c>
      <c r="EQ14" s="113" t="str">
        <f t="shared" si="334"/>
        <v/>
      </c>
      <c r="ER14" s="113" t="str">
        <f t="shared" si="335"/>
        <v/>
      </c>
      <c r="ES14" s="113" t="str">
        <f t="shared" si="336"/>
        <v/>
      </c>
      <c r="ET14" s="660" t="str">
        <f t="shared" si="337"/>
        <v/>
      </c>
      <c r="EU14" s="660" t="str">
        <f t="shared" si="338"/>
        <v/>
      </c>
      <c r="EV14" s="660">
        <f t="shared" si="339"/>
        <v>10</v>
      </c>
      <c r="EW14" s="660" t="str">
        <f t="shared" si="340"/>
        <v/>
      </c>
      <c r="EX14" s="660" t="str">
        <f t="shared" si="341"/>
        <v/>
      </c>
      <c r="EY14" s="660" t="str">
        <f t="shared" si="342"/>
        <v/>
      </c>
      <c r="EZ14" s="660" t="str">
        <f t="shared" si="343"/>
        <v/>
      </c>
      <c r="FA14" s="660" t="str">
        <f t="shared" si="344"/>
        <v/>
      </c>
      <c r="FB14" s="660" t="str">
        <f t="shared" si="345"/>
        <v/>
      </c>
      <c r="FC14" s="660" t="str">
        <f t="shared" si="346"/>
        <v/>
      </c>
      <c r="FD14" s="660" t="str">
        <f t="shared" si="347"/>
        <v/>
      </c>
      <c r="FE14" s="660" t="str">
        <f t="shared" si="348"/>
        <v/>
      </c>
      <c r="FF14" s="660" t="str">
        <f t="shared" si="349"/>
        <v/>
      </c>
      <c r="FG14" s="660" t="str">
        <f t="shared" si="350"/>
        <v/>
      </c>
      <c r="FH14" s="660" t="str">
        <f t="shared" si="351"/>
        <v/>
      </c>
      <c r="FI14" s="660" t="str">
        <f t="shared" si="352"/>
        <v/>
      </c>
      <c r="FJ14" s="660" t="str">
        <f t="shared" si="353"/>
        <v/>
      </c>
      <c r="FK14" s="660" t="str">
        <f t="shared" si="354"/>
        <v/>
      </c>
      <c r="FL14" s="660" t="str">
        <f t="shared" si="355"/>
        <v/>
      </c>
      <c r="FM14" s="660" t="str">
        <f t="shared" si="356"/>
        <v/>
      </c>
      <c r="FN14" s="660" t="str">
        <f t="shared" si="357"/>
        <v/>
      </c>
      <c r="FO14" s="660" t="str">
        <f t="shared" si="358"/>
        <v/>
      </c>
      <c r="FP14" s="660" t="str">
        <f t="shared" si="359"/>
        <v/>
      </c>
      <c r="FQ14" s="660" t="str">
        <f t="shared" si="360"/>
        <v/>
      </c>
      <c r="FR14" s="660" t="str">
        <f t="shared" si="361"/>
        <v/>
      </c>
      <c r="FS14" s="660" t="str">
        <f t="shared" si="362"/>
        <v/>
      </c>
      <c r="FT14" s="660" t="str">
        <f t="shared" si="363"/>
        <v/>
      </c>
      <c r="FU14" s="660" t="str">
        <f t="shared" si="364"/>
        <v/>
      </c>
      <c r="FV14" s="660" t="str">
        <f t="shared" si="365"/>
        <v/>
      </c>
      <c r="FW14" s="660" t="str">
        <f t="shared" si="366"/>
        <v/>
      </c>
      <c r="FX14" s="660" t="str">
        <f t="shared" si="367"/>
        <v/>
      </c>
      <c r="FY14" s="660" t="str">
        <f t="shared" si="368"/>
        <v/>
      </c>
      <c r="FZ14" s="660">
        <f t="shared" si="369"/>
        <v>10</v>
      </c>
      <c r="GA14" s="660" t="str">
        <f t="shared" si="370"/>
        <v/>
      </c>
      <c r="GB14" s="660" t="str">
        <f t="shared" si="371"/>
        <v/>
      </c>
      <c r="GC14" s="660" t="str">
        <f t="shared" si="372"/>
        <v/>
      </c>
      <c r="GD14" s="660" t="str">
        <f t="shared" si="373"/>
        <v/>
      </c>
      <c r="GE14" s="660" t="str">
        <f t="shared" si="374"/>
        <v/>
      </c>
      <c r="GF14" s="660" t="str">
        <f t="shared" si="375"/>
        <v/>
      </c>
      <c r="GG14" s="660" t="str">
        <f t="shared" si="376"/>
        <v/>
      </c>
      <c r="GH14" s="660" t="str">
        <f t="shared" si="377"/>
        <v/>
      </c>
      <c r="GI14" s="660" t="str">
        <f t="shared" si="378"/>
        <v/>
      </c>
      <c r="GJ14" s="660" t="str">
        <f t="shared" si="379"/>
        <v/>
      </c>
      <c r="GK14" s="660" t="str">
        <f t="shared" si="380"/>
        <v/>
      </c>
      <c r="GL14" s="660" t="str">
        <f t="shared" si="381"/>
        <v/>
      </c>
      <c r="GM14" s="661" t="str">
        <f t="shared" si="382"/>
        <v/>
      </c>
      <c r="GN14" s="661" t="str">
        <f t="shared" si="383"/>
        <v/>
      </c>
      <c r="GO14" s="661" t="str">
        <f t="shared" si="384"/>
        <v/>
      </c>
      <c r="GP14" s="661" t="str">
        <f t="shared" si="385"/>
        <v/>
      </c>
      <c r="GQ14" s="661" t="str">
        <f t="shared" si="386"/>
        <v/>
      </c>
      <c r="GR14" s="113" t="str">
        <f t="shared" si="387"/>
        <v/>
      </c>
      <c r="GS14" s="113" t="str">
        <f t="shared" si="388"/>
        <v/>
      </c>
      <c r="GT14" s="113" t="str">
        <f t="shared" si="389"/>
        <v/>
      </c>
      <c r="GU14" s="113" t="str">
        <f t="shared" si="390"/>
        <v/>
      </c>
      <c r="GV14" s="113" t="str">
        <f t="shared" si="391"/>
        <v/>
      </c>
      <c r="GW14" s="113" t="str">
        <f t="shared" si="392"/>
        <v/>
      </c>
      <c r="GX14" s="113" t="str">
        <f t="shared" si="393"/>
        <v/>
      </c>
      <c r="GY14" s="113" t="str">
        <f t="shared" si="394"/>
        <v/>
      </c>
      <c r="GZ14" s="113" t="str">
        <f t="shared" si="395"/>
        <v/>
      </c>
      <c r="HA14" s="113" t="str">
        <f t="shared" si="396"/>
        <v/>
      </c>
      <c r="HB14" s="113" t="str">
        <f t="shared" si="397"/>
        <v/>
      </c>
      <c r="HC14" s="113" t="str">
        <f t="shared" si="398"/>
        <v/>
      </c>
      <c r="HD14" s="113" t="str">
        <f t="shared" si="399"/>
        <v/>
      </c>
      <c r="HE14" s="113" t="str">
        <f t="shared" si="400"/>
        <v/>
      </c>
      <c r="HF14" s="113" t="str">
        <f t="shared" si="401"/>
        <v/>
      </c>
      <c r="HG14" s="113" t="str">
        <f t="shared" si="402"/>
        <v/>
      </c>
      <c r="HH14" s="113" t="str">
        <f t="shared" si="403"/>
        <v/>
      </c>
      <c r="HI14" s="113" t="str">
        <f t="shared" si="404"/>
        <v/>
      </c>
      <c r="HJ14" s="113" t="str">
        <f t="shared" si="405"/>
        <v/>
      </c>
      <c r="HK14" s="113" t="str">
        <f t="shared" si="406"/>
        <v/>
      </c>
    </row>
    <row r="15" spans="1:219" ht="13.2" customHeight="1">
      <c r="A15" s="146" t="str">
        <f t="shared" si="204"/>
        <v/>
      </c>
      <c r="B15" s="836" t="s">
        <v>1790</v>
      </c>
      <c r="C15" s="837">
        <v>2</v>
      </c>
      <c r="D15" s="838">
        <v>1</v>
      </c>
      <c r="E15" s="839">
        <v>4</v>
      </c>
      <c r="F15" s="839">
        <v>855</v>
      </c>
      <c r="G15" s="839">
        <v>706</v>
      </c>
      <c r="H15" s="839">
        <v>537</v>
      </c>
      <c r="I15" s="839">
        <v>134</v>
      </c>
      <c r="J15" s="840"/>
      <c r="K15" s="227">
        <f t="shared" si="205"/>
        <v>403</v>
      </c>
      <c r="L15" s="227">
        <f t="shared" si="206"/>
        <v>1612</v>
      </c>
      <c r="M15" s="841" t="s">
        <v>3919</v>
      </c>
      <c r="N15" s="841" t="s">
        <v>3985</v>
      </c>
      <c r="O15" s="841" t="s">
        <v>3986</v>
      </c>
      <c r="P15" s="581">
        <f t="shared" si="1"/>
        <v>21480</v>
      </c>
      <c r="Q15" s="582">
        <f>IF(H15="","",P15/($P$6*VLOOKUP(C15,'DCA Underwriting Assumptions'!$J$77:$K$82,2,FALSE)))</f>
        <v>0.46705805609915196</v>
      </c>
      <c r="R15" s="739"/>
      <c r="S15" s="659"/>
      <c r="T15" s="113" t="str">
        <f t="shared" si="207"/>
        <v/>
      </c>
      <c r="U15" s="113" t="str">
        <f t="shared" si="208"/>
        <v/>
      </c>
      <c r="V15" s="113">
        <f t="shared" si="209"/>
        <v>4</v>
      </c>
      <c r="W15" s="113" t="str">
        <f t="shared" si="210"/>
        <v/>
      </c>
      <c r="X15" s="113" t="str">
        <f t="shared" si="211"/>
        <v/>
      </c>
      <c r="Y15" s="113" t="str">
        <f t="shared" si="212"/>
        <v/>
      </c>
      <c r="Z15" s="113" t="str">
        <f t="shared" si="213"/>
        <v/>
      </c>
      <c r="AA15" s="113" t="str">
        <f t="shared" si="214"/>
        <v/>
      </c>
      <c r="AB15" s="113" t="str">
        <f t="shared" si="215"/>
        <v/>
      </c>
      <c r="AC15" s="113" t="str">
        <f t="shared" si="216"/>
        <v/>
      </c>
      <c r="AD15" s="113" t="str">
        <f t="shared" si="217"/>
        <v/>
      </c>
      <c r="AE15" s="113" t="str">
        <f t="shared" si="218"/>
        <v/>
      </c>
      <c r="AF15" s="113" t="str">
        <f t="shared" si="219"/>
        <v/>
      </c>
      <c r="AG15" s="113" t="str">
        <f t="shared" si="220"/>
        <v/>
      </c>
      <c r="AH15" s="113" t="str">
        <f t="shared" si="221"/>
        <v/>
      </c>
      <c r="AI15" s="113" t="str">
        <f t="shared" si="222"/>
        <v/>
      </c>
      <c r="AJ15" s="113" t="str">
        <f t="shared" si="223"/>
        <v/>
      </c>
      <c r="AK15" s="113" t="str">
        <f t="shared" si="224"/>
        <v/>
      </c>
      <c r="AL15" s="113" t="str">
        <f t="shared" si="225"/>
        <v/>
      </c>
      <c r="AM15" s="113" t="str">
        <f t="shared" si="226"/>
        <v/>
      </c>
      <c r="AN15" s="113" t="str">
        <f t="shared" si="227"/>
        <v/>
      </c>
      <c r="AO15" s="113" t="str">
        <f t="shared" si="228"/>
        <v/>
      </c>
      <c r="AP15" s="113" t="str">
        <f t="shared" si="229"/>
        <v/>
      </c>
      <c r="AQ15" s="113" t="str">
        <f t="shared" si="230"/>
        <v/>
      </c>
      <c r="AR15" s="113" t="str">
        <f t="shared" si="231"/>
        <v/>
      </c>
      <c r="AS15" s="113" t="str">
        <f t="shared" si="232"/>
        <v/>
      </c>
      <c r="AT15" s="113" t="str">
        <f t="shared" si="233"/>
        <v/>
      </c>
      <c r="AU15" s="113" t="str">
        <f t="shared" si="234"/>
        <v/>
      </c>
      <c r="AV15" s="113" t="str">
        <f t="shared" si="235"/>
        <v/>
      </c>
      <c r="AW15" s="113" t="str">
        <f t="shared" si="236"/>
        <v/>
      </c>
      <c r="AX15" s="113" t="str">
        <f t="shared" si="237"/>
        <v/>
      </c>
      <c r="AY15" s="113" t="str">
        <f t="shared" si="238"/>
        <v/>
      </c>
      <c r="AZ15" s="113" t="str">
        <f t="shared" si="239"/>
        <v/>
      </c>
      <c r="BA15" s="113" t="str">
        <f t="shared" si="240"/>
        <v/>
      </c>
      <c r="BB15" s="113" t="str">
        <f t="shared" si="241"/>
        <v/>
      </c>
      <c r="BC15" s="113" t="str">
        <f t="shared" si="242"/>
        <v/>
      </c>
      <c r="BD15" s="113" t="str">
        <f t="shared" si="243"/>
        <v/>
      </c>
      <c r="BE15" s="113" t="str">
        <f t="shared" si="244"/>
        <v/>
      </c>
      <c r="BF15" s="113" t="str">
        <f t="shared" si="245"/>
        <v/>
      </c>
      <c r="BG15" s="113" t="str">
        <f t="shared" si="246"/>
        <v/>
      </c>
      <c r="BH15" s="113" t="str">
        <f t="shared" si="247"/>
        <v/>
      </c>
      <c r="BI15" s="113" t="str">
        <f t="shared" si="248"/>
        <v/>
      </c>
      <c r="BJ15" s="113" t="str">
        <f t="shared" si="249"/>
        <v/>
      </c>
      <c r="BK15" s="113" t="str">
        <f t="shared" si="250"/>
        <v/>
      </c>
      <c r="BL15" s="113" t="str">
        <f t="shared" si="251"/>
        <v/>
      </c>
      <c r="BM15" s="113" t="str">
        <f t="shared" si="252"/>
        <v/>
      </c>
      <c r="BN15" s="113" t="str">
        <f t="shared" si="253"/>
        <v/>
      </c>
      <c r="BO15" s="113" t="str">
        <f t="shared" si="254"/>
        <v/>
      </c>
      <c r="BP15" s="113" t="str">
        <f t="shared" si="255"/>
        <v/>
      </c>
      <c r="BQ15" s="113" t="str">
        <f t="shared" si="256"/>
        <v/>
      </c>
      <c r="BR15" s="113" t="str">
        <f t="shared" si="257"/>
        <v/>
      </c>
      <c r="BS15" s="113" t="str">
        <f t="shared" si="258"/>
        <v/>
      </c>
      <c r="BT15" s="113" t="str">
        <f t="shared" si="259"/>
        <v/>
      </c>
      <c r="BU15" s="113" t="str">
        <f t="shared" si="260"/>
        <v/>
      </c>
      <c r="BV15" s="113" t="str">
        <f t="shared" si="261"/>
        <v/>
      </c>
      <c r="BW15" s="113" t="str">
        <f t="shared" si="262"/>
        <v/>
      </c>
      <c r="BX15" s="113" t="str">
        <f t="shared" si="263"/>
        <v/>
      </c>
      <c r="BY15" s="113">
        <f t="shared" si="264"/>
        <v>3420</v>
      </c>
      <c r="BZ15" s="113" t="str">
        <f t="shared" si="265"/>
        <v/>
      </c>
      <c r="CA15" s="113" t="str">
        <f t="shared" si="266"/>
        <v/>
      </c>
      <c r="CB15" s="113" t="str">
        <f t="shared" si="267"/>
        <v/>
      </c>
      <c r="CC15" s="113" t="str">
        <f t="shared" si="268"/>
        <v/>
      </c>
      <c r="CD15" s="113" t="str">
        <f t="shared" si="269"/>
        <v/>
      </c>
      <c r="CE15" s="113" t="str">
        <f t="shared" si="270"/>
        <v/>
      </c>
      <c r="CF15" s="113" t="str">
        <f t="shared" si="271"/>
        <v/>
      </c>
      <c r="CG15" s="113" t="str">
        <f t="shared" si="272"/>
        <v/>
      </c>
      <c r="CH15" s="113" t="str">
        <f t="shared" si="273"/>
        <v/>
      </c>
      <c r="CI15" s="113" t="str">
        <f t="shared" si="274"/>
        <v/>
      </c>
      <c r="CJ15" s="113" t="str">
        <f t="shared" si="275"/>
        <v/>
      </c>
      <c r="CK15" s="113" t="str">
        <f t="shared" si="276"/>
        <v/>
      </c>
      <c r="CL15" s="113" t="str">
        <f t="shared" si="277"/>
        <v/>
      </c>
      <c r="CM15" s="113" t="str">
        <f t="shared" si="278"/>
        <v/>
      </c>
      <c r="CN15" s="113" t="str">
        <f t="shared" si="279"/>
        <v/>
      </c>
      <c r="CO15" s="113" t="str">
        <f t="shared" si="280"/>
        <v/>
      </c>
      <c r="CP15" s="113" t="str">
        <f t="shared" si="281"/>
        <v/>
      </c>
      <c r="CQ15" s="113" t="str">
        <f t="shared" si="282"/>
        <v/>
      </c>
      <c r="CR15" s="113" t="str">
        <f t="shared" si="283"/>
        <v/>
      </c>
      <c r="CS15" s="113" t="str">
        <f t="shared" si="284"/>
        <v/>
      </c>
      <c r="CT15" s="113" t="str">
        <f t="shared" si="285"/>
        <v/>
      </c>
      <c r="CU15" s="113" t="str">
        <f t="shared" si="286"/>
        <v/>
      </c>
      <c r="CV15" s="113" t="str">
        <f t="shared" si="287"/>
        <v/>
      </c>
      <c r="CW15" s="113" t="str">
        <f t="shared" si="288"/>
        <v/>
      </c>
      <c r="CX15" s="113" t="str">
        <f t="shared" si="289"/>
        <v/>
      </c>
      <c r="CY15" s="113" t="str">
        <f t="shared" si="290"/>
        <v/>
      </c>
      <c r="CZ15" s="113" t="str">
        <f t="shared" si="291"/>
        <v/>
      </c>
      <c r="DA15" s="113" t="str">
        <f t="shared" si="292"/>
        <v/>
      </c>
      <c r="DB15" s="113" t="str">
        <f t="shared" si="293"/>
        <v/>
      </c>
      <c r="DC15" s="113" t="str">
        <f t="shared" si="294"/>
        <v/>
      </c>
      <c r="DD15" s="113" t="str">
        <f t="shared" si="295"/>
        <v/>
      </c>
      <c r="DE15" s="113" t="str">
        <f t="shared" si="296"/>
        <v/>
      </c>
      <c r="DF15" s="113" t="str">
        <f t="shared" si="297"/>
        <v/>
      </c>
      <c r="DG15" s="113" t="str">
        <f t="shared" si="298"/>
        <v/>
      </c>
      <c r="DH15" s="113" t="str">
        <f t="shared" si="299"/>
        <v/>
      </c>
      <c r="DI15" s="113" t="str">
        <f t="shared" si="300"/>
        <v/>
      </c>
      <c r="DJ15" s="113" t="str">
        <f t="shared" si="301"/>
        <v/>
      </c>
      <c r="DK15" s="113" t="str">
        <f t="shared" si="302"/>
        <v/>
      </c>
      <c r="DL15" s="113" t="str">
        <f t="shared" si="303"/>
        <v/>
      </c>
      <c r="DM15" s="113" t="str">
        <f t="shared" si="304"/>
        <v/>
      </c>
      <c r="DN15" s="113" t="str">
        <f t="shared" si="305"/>
        <v/>
      </c>
      <c r="DO15" s="113" t="str">
        <f t="shared" si="306"/>
        <v/>
      </c>
      <c r="DP15" s="113" t="str">
        <f t="shared" si="307"/>
        <v/>
      </c>
      <c r="DQ15" s="113" t="str">
        <f t="shared" si="308"/>
        <v/>
      </c>
      <c r="DR15" s="113">
        <f t="shared" si="309"/>
        <v>4</v>
      </c>
      <c r="DS15" s="113" t="str">
        <f t="shared" si="310"/>
        <v/>
      </c>
      <c r="DT15" s="113" t="str">
        <f t="shared" si="311"/>
        <v/>
      </c>
      <c r="DU15" s="113" t="str">
        <f t="shared" si="312"/>
        <v/>
      </c>
      <c r="DV15" s="113" t="str">
        <f t="shared" si="313"/>
        <v/>
      </c>
      <c r="DW15" s="113" t="str">
        <f t="shared" si="314"/>
        <v/>
      </c>
      <c r="DX15" s="113" t="str">
        <f t="shared" si="315"/>
        <v/>
      </c>
      <c r="DY15" s="113" t="str">
        <f t="shared" si="316"/>
        <v/>
      </c>
      <c r="DZ15" s="113" t="str">
        <f t="shared" si="317"/>
        <v/>
      </c>
      <c r="EA15" s="113" t="str">
        <f t="shared" si="318"/>
        <v/>
      </c>
      <c r="EB15" s="113" t="str">
        <f t="shared" si="319"/>
        <v/>
      </c>
      <c r="EC15" s="113" t="str">
        <f t="shared" si="320"/>
        <v/>
      </c>
      <c r="ED15" s="113" t="str">
        <f t="shared" si="321"/>
        <v/>
      </c>
      <c r="EE15" s="113" t="str">
        <f t="shared" si="322"/>
        <v/>
      </c>
      <c r="EF15" s="113" t="str">
        <f t="shared" si="323"/>
        <v/>
      </c>
      <c r="EG15" s="113" t="str">
        <f t="shared" si="324"/>
        <v/>
      </c>
      <c r="EH15" s="113" t="str">
        <f t="shared" si="325"/>
        <v/>
      </c>
      <c r="EI15" s="113" t="str">
        <f t="shared" si="326"/>
        <v/>
      </c>
      <c r="EJ15" s="113" t="str">
        <f t="shared" si="327"/>
        <v/>
      </c>
      <c r="EK15" s="113" t="str">
        <f t="shared" si="328"/>
        <v/>
      </c>
      <c r="EL15" s="113" t="str">
        <f t="shared" si="329"/>
        <v/>
      </c>
      <c r="EM15" s="113" t="str">
        <f t="shared" si="330"/>
        <v/>
      </c>
      <c r="EN15" s="113" t="str">
        <f t="shared" si="331"/>
        <v/>
      </c>
      <c r="EO15" s="113" t="str">
        <f t="shared" si="332"/>
        <v/>
      </c>
      <c r="EP15" s="113" t="str">
        <f t="shared" si="333"/>
        <v/>
      </c>
      <c r="EQ15" s="113" t="str">
        <f t="shared" si="334"/>
        <v/>
      </c>
      <c r="ER15" s="113" t="str">
        <f t="shared" si="335"/>
        <v/>
      </c>
      <c r="ES15" s="113" t="str">
        <f t="shared" si="336"/>
        <v/>
      </c>
      <c r="ET15" s="660" t="str">
        <f t="shared" si="337"/>
        <v/>
      </c>
      <c r="EU15" s="660" t="str">
        <f t="shared" si="338"/>
        <v/>
      </c>
      <c r="EV15" s="660">
        <f t="shared" si="339"/>
        <v>4</v>
      </c>
      <c r="EW15" s="660" t="str">
        <f t="shared" si="340"/>
        <v/>
      </c>
      <c r="EX15" s="660" t="str">
        <f t="shared" si="341"/>
        <v/>
      </c>
      <c r="EY15" s="660" t="str">
        <f t="shared" si="342"/>
        <v/>
      </c>
      <c r="EZ15" s="660" t="str">
        <f t="shared" si="343"/>
        <v/>
      </c>
      <c r="FA15" s="660" t="str">
        <f t="shared" si="344"/>
        <v/>
      </c>
      <c r="FB15" s="660" t="str">
        <f t="shared" si="345"/>
        <v/>
      </c>
      <c r="FC15" s="660" t="str">
        <f t="shared" si="346"/>
        <v/>
      </c>
      <c r="FD15" s="660" t="str">
        <f t="shared" si="347"/>
        <v/>
      </c>
      <c r="FE15" s="660" t="str">
        <f t="shared" si="348"/>
        <v/>
      </c>
      <c r="FF15" s="660" t="str">
        <f t="shared" si="349"/>
        <v/>
      </c>
      <c r="FG15" s="660" t="str">
        <f t="shared" si="350"/>
        <v/>
      </c>
      <c r="FH15" s="660" t="str">
        <f t="shared" si="351"/>
        <v/>
      </c>
      <c r="FI15" s="660" t="str">
        <f t="shared" si="352"/>
        <v/>
      </c>
      <c r="FJ15" s="660" t="str">
        <f t="shared" si="353"/>
        <v/>
      </c>
      <c r="FK15" s="660" t="str">
        <f t="shared" si="354"/>
        <v/>
      </c>
      <c r="FL15" s="660" t="str">
        <f t="shared" si="355"/>
        <v/>
      </c>
      <c r="FM15" s="660" t="str">
        <f t="shared" si="356"/>
        <v/>
      </c>
      <c r="FN15" s="660" t="str">
        <f t="shared" si="357"/>
        <v/>
      </c>
      <c r="FO15" s="660" t="str">
        <f t="shared" si="358"/>
        <v/>
      </c>
      <c r="FP15" s="660" t="str">
        <f t="shared" si="359"/>
        <v/>
      </c>
      <c r="FQ15" s="660" t="str">
        <f t="shared" si="360"/>
        <v/>
      </c>
      <c r="FR15" s="660" t="str">
        <f t="shared" si="361"/>
        <v/>
      </c>
      <c r="FS15" s="660" t="str">
        <f t="shared" si="362"/>
        <v/>
      </c>
      <c r="FT15" s="660" t="str">
        <f t="shared" si="363"/>
        <v/>
      </c>
      <c r="FU15" s="660" t="str">
        <f t="shared" si="364"/>
        <v/>
      </c>
      <c r="FV15" s="660" t="str">
        <f t="shared" si="365"/>
        <v/>
      </c>
      <c r="FW15" s="660" t="str">
        <f t="shared" si="366"/>
        <v/>
      </c>
      <c r="FX15" s="660" t="str">
        <f t="shared" si="367"/>
        <v/>
      </c>
      <c r="FY15" s="660" t="str">
        <f t="shared" si="368"/>
        <v/>
      </c>
      <c r="FZ15" s="660">
        <f t="shared" si="369"/>
        <v>4</v>
      </c>
      <c r="GA15" s="660" t="str">
        <f t="shared" si="370"/>
        <v/>
      </c>
      <c r="GB15" s="660" t="str">
        <f t="shared" si="371"/>
        <v/>
      </c>
      <c r="GC15" s="660" t="str">
        <f t="shared" si="372"/>
        <v/>
      </c>
      <c r="GD15" s="660" t="str">
        <f t="shared" si="373"/>
        <v/>
      </c>
      <c r="GE15" s="660" t="str">
        <f t="shared" si="374"/>
        <v/>
      </c>
      <c r="GF15" s="660" t="str">
        <f t="shared" si="375"/>
        <v/>
      </c>
      <c r="GG15" s="660" t="str">
        <f t="shared" si="376"/>
        <v/>
      </c>
      <c r="GH15" s="660" t="str">
        <f t="shared" si="377"/>
        <v/>
      </c>
      <c r="GI15" s="660" t="str">
        <f t="shared" si="378"/>
        <v/>
      </c>
      <c r="GJ15" s="660" t="str">
        <f t="shared" si="379"/>
        <v/>
      </c>
      <c r="GK15" s="660" t="str">
        <f t="shared" si="380"/>
        <v/>
      </c>
      <c r="GL15" s="660" t="str">
        <f t="shared" si="381"/>
        <v/>
      </c>
      <c r="GM15" s="661" t="str">
        <f t="shared" si="382"/>
        <v/>
      </c>
      <c r="GN15" s="661" t="str">
        <f t="shared" si="383"/>
        <v/>
      </c>
      <c r="GO15" s="661" t="str">
        <f t="shared" si="384"/>
        <v/>
      </c>
      <c r="GP15" s="661" t="str">
        <f t="shared" si="385"/>
        <v/>
      </c>
      <c r="GQ15" s="661" t="str">
        <f t="shared" si="386"/>
        <v/>
      </c>
      <c r="GR15" s="113" t="str">
        <f t="shared" si="387"/>
        <v/>
      </c>
      <c r="GS15" s="113" t="str">
        <f t="shared" si="388"/>
        <v/>
      </c>
      <c r="GT15" s="113" t="str">
        <f t="shared" si="389"/>
        <v/>
      </c>
      <c r="GU15" s="113" t="str">
        <f t="shared" si="390"/>
        <v/>
      </c>
      <c r="GV15" s="113" t="str">
        <f t="shared" si="391"/>
        <v/>
      </c>
      <c r="GW15" s="113" t="str">
        <f t="shared" si="392"/>
        <v/>
      </c>
      <c r="GX15" s="113" t="str">
        <f t="shared" si="393"/>
        <v/>
      </c>
      <c r="GY15" s="113" t="str">
        <f t="shared" si="394"/>
        <v/>
      </c>
      <c r="GZ15" s="113" t="str">
        <f t="shared" si="395"/>
        <v/>
      </c>
      <c r="HA15" s="113" t="str">
        <f t="shared" si="396"/>
        <v/>
      </c>
      <c r="HB15" s="113" t="str">
        <f t="shared" si="397"/>
        <v/>
      </c>
      <c r="HC15" s="113" t="str">
        <f t="shared" si="398"/>
        <v/>
      </c>
      <c r="HD15" s="113" t="str">
        <f t="shared" si="399"/>
        <v/>
      </c>
      <c r="HE15" s="113" t="str">
        <f t="shared" si="400"/>
        <v/>
      </c>
      <c r="HF15" s="113" t="str">
        <f t="shared" si="401"/>
        <v/>
      </c>
      <c r="HG15" s="113" t="str">
        <f t="shared" si="402"/>
        <v/>
      </c>
      <c r="HH15" s="113" t="str">
        <f t="shared" si="403"/>
        <v/>
      </c>
      <c r="HI15" s="113" t="str">
        <f t="shared" si="404"/>
        <v/>
      </c>
      <c r="HJ15" s="113" t="str">
        <f t="shared" si="405"/>
        <v/>
      </c>
      <c r="HK15" s="113" t="str">
        <f t="shared" si="406"/>
        <v/>
      </c>
    </row>
    <row r="16" spans="1:219" ht="13.2" customHeight="1">
      <c r="A16" s="146" t="str">
        <f t="shared" si="204"/>
        <v/>
      </c>
      <c r="B16" s="836" t="s">
        <v>1790</v>
      </c>
      <c r="C16" s="837">
        <v>2</v>
      </c>
      <c r="D16" s="838">
        <v>1</v>
      </c>
      <c r="E16" s="839">
        <v>11</v>
      </c>
      <c r="F16" s="839">
        <v>883</v>
      </c>
      <c r="G16" s="839">
        <v>706</v>
      </c>
      <c r="H16" s="839">
        <v>537</v>
      </c>
      <c r="I16" s="839">
        <v>134</v>
      </c>
      <c r="J16" s="840" t="s">
        <v>4030</v>
      </c>
      <c r="K16" s="227">
        <f t="shared" si="205"/>
        <v>403</v>
      </c>
      <c r="L16" s="227">
        <f t="shared" si="206"/>
        <v>4433</v>
      </c>
      <c r="M16" s="841" t="s">
        <v>3919</v>
      </c>
      <c r="N16" s="841" t="s">
        <v>3985</v>
      </c>
      <c r="O16" s="841" t="s">
        <v>3986</v>
      </c>
      <c r="P16" s="581">
        <f t="shared" si="1"/>
        <v>21480</v>
      </c>
      <c r="Q16" s="582">
        <f>IF(H16="","",P16/($P$6*VLOOKUP(C16,'DCA Underwriting Assumptions'!$J$77:$K$82,2,FALSE)))</f>
        <v>0.46705805609915196</v>
      </c>
      <c r="R16" s="739"/>
      <c r="S16" s="659"/>
      <c r="T16" s="113" t="str">
        <f t="shared" si="207"/>
        <v/>
      </c>
      <c r="U16" s="113" t="str">
        <f t="shared" si="208"/>
        <v/>
      </c>
      <c r="V16" s="113">
        <f t="shared" si="209"/>
        <v>11</v>
      </c>
      <c r="W16" s="113" t="str">
        <f t="shared" si="210"/>
        <v/>
      </c>
      <c r="X16" s="113" t="str">
        <f t="shared" si="211"/>
        <v/>
      </c>
      <c r="Y16" s="113" t="str">
        <f t="shared" si="212"/>
        <v/>
      </c>
      <c r="Z16" s="113" t="str">
        <f t="shared" si="213"/>
        <v/>
      </c>
      <c r="AA16" s="113" t="str">
        <f t="shared" si="214"/>
        <v/>
      </c>
      <c r="AB16" s="113" t="str">
        <f t="shared" si="215"/>
        <v/>
      </c>
      <c r="AC16" s="113" t="str">
        <f t="shared" si="216"/>
        <v/>
      </c>
      <c r="AD16" s="113" t="str">
        <f t="shared" si="217"/>
        <v/>
      </c>
      <c r="AE16" s="113" t="str">
        <f t="shared" si="218"/>
        <v/>
      </c>
      <c r="AF16" s="113" t="str">
        <f t="shared" si="219"/>
        <v/>
      </c>
      <c r="AG16" s="113" t="str">
        <f t="shared" si="220"/>
        <v/>
      </c>
      <c r="AH16" s="113" t="str">
        <f t="shared" si="221"/>
        <v/>
      </c>
      <c r="AI16" s="113" t="str">
        <f t="shared" si="222"/>
        <v/>
      </c>
      <c r="AJ16" s="113" t="str">
        <f t="shared" si="223"/>
        <v/>
      </c>
      <c r="AK16" s="113" t="str">
        <f t="shared" si="224"/>
        <v/>
      </c>
      <c r="AL16" s="113" t="str">
        <f t="shared" si="225"/>
        <v/>
      </c>
      <c r="AM16" s="113" t="str">
        <f t="shared" si="226"/>
        <v/>
      </c>
      <c r="AN16" s="113" t="str">
        <f t="shared" si="227"/>
        <v/>
      </c>
      <c r="AO16" s="113" t="str">
        <f t="shared" si="228"/>
        <v/>
      </c>
      <c r="AP16" s="113" t="str">
        <f t="shared" si="229"/>
        <v/>
      </c>
      <c r="AQ16" s="113" t="str">
        <f t="shared" si="230"/>
        <v/>
      </c>
      <c r="AR16" s="113" t="str">
        <f t="shared" si="231"/>
        <v/>
      </c>
      <c r="AS16" s="113" t="str">
        <f t="shared" si="232"/>
        <v/>
      </c>
      <c r="AT16" s="113" t="str">
        <f t="shared" si="233"/>
        <v/>
      </c>
      <c r="AU16" s="113" t="str">
        <f t="shared" si="234"/>
        <v/>
      </c>
      <c r="AV16" s="113" t="str">
        <f t="shared" si="235"/>
        <v/>
      </c>
      <c r="AW16" s="113" t="str">
        <f t="shared" si="236"/>
        <v/>
      </c>
      <c r="AX16" s="113" t="str">
        <f t="shared" si="237"/>
        <v/>
      </c>
      <c r="AY16" s="113" t="str">
        <f t="shared" si="238"/>
        <v/>
      </c>
      <c r="AZ16" s="113">
        <f t="shared" si="239"/>
        <v>11</v>
      </c>
      <c r="BA16" s="113" t="str">
        <f t="shared" si="240"/>
        <v/>
      </c>
      <c r="BB16" s="113" t="str">
        <f t="shared" si="241"/>
        <v/>
      </c>
      <c r="BC16" s="113" t="str">
        <f t="shared" si="242"/>
        <v/>
      </c>
      <c r="BD16" s="113" t="str">
        <f t="shared" si="243"/>
        <v/>
      </c>
      <c r="BE16" s="113" t="str">
        <f t="shared" si="244"/>
        <v/>
      </c>
      <c r="BF16" s="113" t="str">
        <f t="shared" si="245"/>
        <v/>
      </c>
      <c r="BG16" s="113" t="str">
        <f t="shared" si="246"/>
        <v/>
      </c>
      <c r="BH16" s="113" t="str">
        <f t="shared" si="247"/>
        <v/>
      </c>
      <c r="BI16" s="113" t="str">
        <f t="shared" si="248"/>
        <v/>
      </c>
      <c r="BJ16" s="113" t="str">
        <f t="shared" si="249"/>
        <v/>
      </c>
      <c r="BK16" s="113" t="str">
        <f t="shared" si="250"/>
        <v/>
      </c>
      <c r="BL16" s="113" t="str">
        <f t="shared" si="251"/>
        <v/>
      </c>
      <c r="BM16" s="113" t="str">
        <f t="shared" si="252"/>
        <v/>
      </c>
      <c r="BN16" s="113" t="str">
        <f t="shared" si="253"/>
        <v/>
      </c>
      <c r="BO16" s="113" t="str">
        <f t="shared" si="254"/>
        <v/>
      </c>
      <c r="BP16" s="113" t="str">
        <f t="shared" si="255"/>
        <v/>
      </c>
      <c r="BQ16" s="113" t="str">
        <f t="shared" si="256"/>
        <v/>
      </c>
      <c r="BR16" s="113" t="str">
        <f t="shared" si="257"/>
        <v/>
      </c>
      <c r="BS16" s="113" t="str">
        <f t="shared" si="258"/>
        <v/>
      </c>
      <c r="BT16" s="113" t="str">
        <f t="shared" si="259"/>
        <v/>
      </c>
      <c r="BU16" s="113" t="str">
        <f t="shared" si="260"/>
        <v/>
      </c>
      <c r="BV16" s="113" t="str">
        <f t="shared" si="261"/>
        <v/>
      </c>
      <c r="BW16" s="113" t="str">
        <f t="shared" si="262"/>
        <v/>
      </c>
      <c r="BX16" s="113" t="str">
        <f t="shared" si="263"/>
        <v/>
      </c>
      <c r="BY16" s="113">
        <f t="shared" si="264"/>
        <v>9713</v>
      </c>
      <c r="BZ16" s="113" t="str">
        <f t="shared" si="265"/>
        <v/>
      </c>
      <c r="CA16" s="113" t="str">
        <f t="shared" si="266"/>
        <v/>
      </c>
      <c r="CB16" s="113" t="str">
        <f t="shared" si="267"/>
        <v/>
      </c>
      <c r="CC16" s="113" t="str">
        <f t="shared" si="268"/>
        <v/>
      </c>
      <c r="CD16" s="113" t="str">
        <f t="shared" si="269"/>
        <v/>
      </c>
      <c r="CE16" s="113" t="str">
        <f t="shared" si="270"/>
        <v/>
      </c>
      <c r="CF16" s="113" t="str">
        <f t="shared" si="271"/>
        <v/>
      </c>
      <c r="CG16" s="113" t="str">
        <f t="shared" si="272"/>
        <v/>
      </c>
      <c r="CH16" s="113" t="str">
        <f t="shared" si="273"/>
        <v/>
      </c>
      <c r="CI16" s="113" t="str">
        <f t="shared" si="274"/>
        <v/>
      </c>
      <c r="CJ16" s="113" t="str">
        <f t="shared" si="275"/>
        <v/>
      </c>
      <c r="CK16" s="113" t="str">
        <f t="shared" si="276"/>
        <v/>
      </c>
      <c r="CL16" s="113" t="str">
        <f t="shared" si="277"/>
        <v/>
      </c>
      <c r="CM16" s="113" t="str">
        <f t="shared" si="278"/>
        <v/>
      </c>
      <c r="CN16" s="113" t="str">
        <f t="shared" si="279"/>
        <v/>
      </c>
      <c r="CO16" s="113" t="str">
        <f t="shared" si="280"/>
        <v/>
      </c>
      <c r="CP16" s="113" t="str">
        <f t="shared" si="281"/>
        <v/>
      </c>
      <c r="CQ16" s="113" t="str">
        <f t="shared" si="282"/>
        <v/>
      </c>
      <c r="CR16" s="113" t="str">
        <f t="shared" si="283"/>
        <v/>
      </c>
      <c r="CS16" s="113">
        <f t="shared" si="284"/>
        <v>9713</v>
      </c>
      <c r="CT16" s="113" t="str">
        <f t="shared" si="285"/>
        <v/>
      </c>
      <c r="CU16" s="113" t="str">
        <f t="shared" si="286"/>
        <v/>
      </c>
      <c r="CV16" s="113" t="str">
        <f t="shared" si="287"/>
        <v/>
      </c>
      <c r="CW16" s="113" t="str">
        <f t="shared" si="288"/>
        <v/>
      </c>
      <c r="CX16" s="113" t="str">
        <f t="shared" si="289"/>
        <v/>
      </c>
      <c r="CY16" s="113" t="str">
        <f t="shared" si="290"/>
        <v/>
      </c>
      <c r="CZ16" s="113" t="str">
        <f t="shared" si="291"/>
        <v/>
      </c>
      <c r="DA16" s="113" t="str">
        <f t="shared" si="292"/>
        <v/>
      </c>
      <c r="DB16" s="113" t="str">
        <f t="shared" si="293"/>
        <v/>
      </c>
      <c r="DC16" s="113" t="str">
        <f t="shared" si="294"/>
        <v/>
      </c>
      <c r="DD16" s="113" t="str">
        <f t="shared" si="295"/>
        <v/>
      </c>
      <c r="DE16" s="113" t="str">
        <f t="shared" si="296"/>
        <v/>
      </c>
      <c r="DF16" s="113" t="str">
        <f t="shared" si="297"/>
        <v/>
      </c>
      <c r="DG16" s="113" t="str">
        <f t="shared" si="298"/>
        <v/>
      </c>
      <c r="DH16" s="113" t="str">
        <f t="shared" si="299"/>
        <v/>
      </c>
      <c r="DI16" s="113" t="str">
        <f t="shared" si="300"/>
        <v/>
      </c>
      <c r="DJ16" s="113" t="str">
        <f t="shared" si="301"/>
        <v/>
      </c>
      <c r="DK16" s="113" t="str">
        <f t="shared" si="302"/>
        <v/>
      </c>
      <c r="DL16" s="113" t="str">
        <f t="shared" si="303"/>
        <v/>
      </c>
      <c r="DM16" s="113" t="str">
        <f t="shared" si="304"/>
        <v/>
      </c>
      <c r="DN16" s="113" t="str">
        <f t="shared" si="305"/>
        <v/>
      </c>
      <c r="DO16" s="113" t="str">
        <f t="shared" si="306"/>
        <v/>
      </c>
      <c r="DP16" s="113" t="str">
        <f t="shared" si="307"/>
        <v/>
      </c>
      <c r="DQ16" s="113" t="str">
        <f t="shared" si="308"/>
        <v/>
      </c>
      <c r="DR16" s="113">
        <f t="shared" si="309"/>
        <v>11</v>
      </c>
      <c r="DS16" s="113" t="str">
        <f t="shared" si="310"/>
        <v/>
      </c>
      <c r="DT16" s="113" t="str">
        <f t="shared" si="311"/>
        <v/>
      </c>
      <c r="DU16" s="113" t="str">
        <f t="shared" si="312"/>
        <v/>
      </c>
      <c r="DV16" s="113" t="str">
        <f t="shared" si="313"/>
        <v/>
      </c>
      <c r="DW16" s="113" t="str">
        <f t="shared" si="314"/>
        <v/>
      </c>
      <c r="DX16" s="113" t="str">
        <f t="shared" si="315"/>
        <v/>
      </c>
      <c r="DY16" s="113" t="str">
        <f t="shared" si="316"/>
        <v/>
      </c>
      <c r="DZ16" s="113" t="str">
        <f t="shared" si="317"/>
        <v/>
      </c>
      <c r="EA16" s="113" t="str">
        <f t="shared" si="318"/>
        <v/>
      </c>
      <c r="EB16" s="113" t="str">
        <f t="shared" si="319"/>
        <v/>
      </c>
      <c r="EC16" s="113" t="str">
        <f t="shared" si="320"/>
        <v/>
      </c>
      <c r="ED16" s="113" t="str">
        <f t="shared" si="321"/>
        <v/>
      </c>
      <c r="EE16" s="113" t="str">
        <f t="shared" si="322"/>
        <v/>
      </c>
      <c r="EF16" s="113" t="str">
        <f t="shared" si="323"/>
        <v/>
      </c>
      <c r="EG16" s="113" t="str">
        <f t="shared" si="324"/>
        <v/>
      </c>
      <c r="EH16" s="113" t="str">
        <f t="shared" si="325"/>
        <v/>
      </c>
      <c r="EI16" s="113" t="str">
        <f t="shared" si="326"/>
        <v/>
      </c>
      <c r="EJ16" s="113" t="str">
        <f t="shared" si="327"/>
        <v/>
      </c>
      <c r="EK16" s="113" t="str">
        <f t="shared" si="328"/>
        <v/>
      </c>
      <c r="EL16" s="113" t="str">
        <f t="shared" si="329"/>
        <v/>
      </c>
      <c r="EM16" s="113" t="str">
        <f t="shared" si="330"/>
        <v/>
      </c>
      <c r="EN16" s="113" t="str">
        <f t="shared" si="331"/>
        <v/>
      </c>
      <c r="EO16" s="113" t="str">
        <f t="shared" si="332"/>
        <v/>
      </c>
      <c r="EP16" s="113" t="str">
        <f t="shared" si="333"/>
        <v/>
      </c>
      <c r="EQ16" s="113" t="str">
        <f t="shared" si="334"/>
        <v/>
      </c>
      <c r="ER16" s="113" t="str">
        <f t="shared" si="335"/>
        <v/>
      </c>
      <c r="ES16" s="113" t="str">
        <f t="shared" si="336"/>
        <v/>
      </c>
      <c r="ET16" s="660" t="str">
        <f t="shared" si="337"/>
        <v/>
      </c>
      <c r="EU16" s="660" t="str">
        <f t="shared" si="338"/>
        <v/>
      </c>
      <c r="EV16" s="660">
        <f t="shared" si="339"/>
        <v>11</v>
      </c>
      <c r="EW16" s="660" t="str">
        <f t="shared" si="340"/>
        <v/>
      </c>
      <c r="EX16" s="660" t="str">
        <f t="shared" si="341"/>
        <v/>
      </c>
      <c r="EY16" s="660" t="str">
        <f t="shared" si="342"/>
        <v/>
      </c>
      <c r="EZ16" s="660" t="str">
        <f t="shared" si="343"/>
        <v/>
      </c>
      <c r="FA16" s="660" t="str">
        <f t="shared" si="344"/>
        <v/>
      </c>
      <c r="FB16" s="660" t="str">
        <f t="shared" si="345"/>
        <v/>
      </c>
      <c r="FC16" s="660" t="str">
        <f t="shared" si="346"/>
        <v/>
      </c>
      <c r="FD16" s="660" t="str">
        <f t="shared" si="347"/>
        <v/>
      </c>
      <c r="FE16" s="660" t="str">
        <f t="shared" si="348"/>
        <v/>
      </c>
      <c r="FF16" s="660" t="str">
        <f t="shared" si="349"/>
        <v/>
      </c>
      <c r="FG16" s="660" t="str">
        <f t="shared" si="350"/>
        <v/>
      </c>
      <c r="FH16" s="660" t="str">
        <f t="shared" si="351"/>
        <v/>
      </c>
      <c r="FI16" s="660" t="str">
        <f t="shared" si="352"/>
        <v/>
      </c>
      <c r="FJ16" s="660" t="str">
        <f t="shared" si="353"/>
        <v/>
      </c>
      <c r="FK16" s="660" t="str">
        <f t="shared" si="354"/>
        <v/>
      </c>
      <c r="FL16" s="660" t="str">
        <f t="shared" si="355"/>
        <v/>
      </c>
      <c r="FM16" s="660" t="str">
        <f t="shared" si="356"/>
        <v/>
      </c>
      <c r="FN16" s="660" t="str">
        <f t="shared" si="357"/>
        <v/>
      </c>
      <c r="FO16" s="660" t="str">
        <f t="shared" si="358"/>
        <v/>
      </c>
      <c r="FP16" s="660" t="str">
        <f t="shared" si="359"/>
        <v/>
      </c>
      <c r="FQ16" s="660" t="str">
        <f t="shared" si="360"/>
        <v/>
      </c>
      <c r="FR16" s="660" t="str">
        <f t="shared" si="361"/>
        <v/>
      </c>
      <c r="FS16" s="660" t="str">
        <f t="shared" si="362"/>
        <v/>
      </c>
      <c r="FT16" s="660" t="str">
        <f t="shared" si="363"/>
        <v/>
      </c>
      <c r="FU16" s="660" t="str">
        <f t="shared" si="364"/>
        <v/>
      </c>
      <c r="FV16" s="660" t="str">
        <f t="shared" si="365"/>
        <v/>
      </c>
      <c r="FW16" s="660" t="str">
        <f t="shared" si="366"/>
        <v/>
      </c>
      <c r="FX16" s="660" t="str">
        <f t="shared" si="367"/>
        <v/>
      </c>
      <c r="FY16" s="660" t="str">
        <f t="shared" si="368"/>
        <v/>
      </c>
      <c r="FZ16" s="660">
        <f t="shared" si="369"/>
        <v>11</v>
      </c>
      <c r="GA16" s="660" t="str">
        <f t="shared" si="370"/>
        <v/>
      </c>
      <c r="GB16" s="660" t="str">
        <f t="shared" si="371"/>
        <v/>
      </c>
      <c r="GC16" s="660" t="str">
        <f t="shared" si="372"/>
        <v/>
      </c>
      <c r="GD16" s="660" t="str">
        <f t="shared" si="373"/>
        <v/>
      </c>
      <c r="GE16" s="660" t="str">
        <f t="shared" si="374"/>
        <v/>
      </c>
      <c r="GF16" s="660" t="str">
        <f t="shared" si="375"/>
        <v/>
      </c>
      <c r="GG16" s="660" t="str">
        <f t="shared" si="376"/>
        <v/>
      </c>
      <c r="GH16" s="660" t="str">
        <f t="shared" si="377"/>
        <v/>
      </c>
      <c r="GI16" s="660" t="str">
        <f t="shared" si="378"/>
        <v/>
      </c>
      <c r="GJ16" s="660" t="str">
        <f t="shared" si="379"/>
        <v/>
      </c>
      <c r="GK16" s="660" t="str">
        <f t="shared" si="380"/>
        <v/>
      </c>
      <c r="GL16" s="660" t="str">
        <f t="shared" si="381"/>
        <v/>
      </c>
      <c r="GM16" s="661" t="str">
        <f t="shared" si="382"/>
        <v/>
      </c>
      <c r="GN16" s="661" t="str">
        <f t="shared" si="383"/>
        <v/>
      </c>
      <c r="GO16" s="661" t="str">
        <f t="shared" si="384"/>
        <v/>
      </c>
      <c r="GP16" s="661" t="str">
        <f t="shared" si="385"/>
        <v/>
      </c>
      <c r="GQ16" s="661" t="str">
        <f t="shared" si="386"/>
        <v/>
      </c>
      <c r="GR16" s="113" t="str">
        <f t="shared" si="387"/>
        <v/>
      </c>
      <c r="GS16" s="113" t="str">
        <f t="shared" si="388"/>
        <v/>
      </c>
      <c r="GT16" s="113" t="str">
        <f t="shared" si="389"/>
        <v/>
      </c>
      <c r="GU16" s="113" t="str">
        <f t="shared" si="390"/>
        <v/>
      </c>
      <c r="GV16" s="113" t="str">
        <f t="shared" si="391"/>
        <v/>
      </c>
      <c r="GW16" s="113" t="str">
        <f t="shared" si="392"/>
        <v/>
      </c>
      <c r="GX16" s="113" t="str">
        <f t="shared" si="393"/>
        <v/>
      </c>
      <c r="GY16" s="113" t="str">
        <f t="shared" si="394"/>
        <v/>
      </c>
      <c r="GZ16" s="113" t="str">
        <f t="shared" si="395"/>
        <v/>
      </c>
      <c r="HA16" s="113" t="str">
        <f t="shared" si="396"/>
        <v/>
      </c>
      <c r="HB16" s="113" t="str">
        <f t="shared" si="397"/>
        <v/>
      </c>
      <c r="HC16" s="113" t="str">
        <f t="shared" si="398"/>
        <v/>
      </c>
      <c r="HD16" s="113" t="str">
        <f t="shared" si="399"/>
        <v/>
      </c>
      <c r="HE16" s="113" t="str">
        <f t="shared" si="400"/>
        <v/>
      </c>
      <c r="HF16" s="113" t="str">
        <f t="shared" si="401"/>
        <v/>
      </c>
      <c r="HG16" s="113" t="str">
        <f t="shared" si="402"/>
        <v/>
      </c>
      <c r="HH16" s="113" t="str">
        <f t="shared" si="403"/>
        <v/>
      </c>
      <c r="HI16" s="113" t="str">
        <f t="shared" si="404"/>
        <v/>
      </c>
      <c r="HJ16" s="113" t="str">
        <f t="shared" si="405"/>
        <v/>
      </c>
      <c r="HK16" s="113" t="str">
        <f t="shared" si="406"/>
        <v/>
      </c>
    </row>
    <row r="17" spans="1:219" ht="13.2" customHeight="1">
      <c r="A17" s="146" t="str">
        <f t="shared" si="204"/>
        <v/>
      </c>
      <c r="B17" s="836" t="s">
        <v>1790</v>
      </c>
      <c r="C17" s="837">
        <v>2</v>
      </c>
      <c r="D17" s="838">
        <v>1</v>
      </c>
      <c r="E17" s="839">
        <v>3</v>
      </c>
      <c r="F17" s="839">
        <v>883</v>
      </c>
      <c r="G17" s="839">
        <v>706</v>
      </c>
      <c r="H17" s="839">
        <v>537</v>
      </c>
      <c r="I17" s="839">
        <v>134</v>
      </c>
      <c r="J17" s="840"/>
      <c r="K17" s="227">
        <f t="shared" si="205"/>
        <v>403</v>
      </c>
      <c r="L17" s="227">
        <f t="shared" si="206"/>
        <v>1209</v>
      </c>
      <c r="M17" s="841" t="s">
        <v>3919</v>
      </c>
      <c r="N17" s="841" t="s">
        <v>3985</v>
      </c>
      <c r="O17" s="841" t="s">
        <v>3986</v>
      </c>
      <c r="P17" s="581">
        <f t="shared" si="1"/>
        <v>21480</v>
      </c>
      <c r="Q17" s="582">
        <f>IF(H17="","",P17/($P$6*VLOOKUP(C17,'DCA Underwriting Assumptions'!$J$77:$K$82,2,FALSE)))</f>
        <v>0.46705805609915196</v>
      </c>
      <c r="R17" s="739"/>
      <c r="S17" s="659"/>
      <c r="T17" s="113" t="str">
        <f t="shared" si="207"/>
        <v/>
      </c>
      <c r="U17" s="113" t="str">
        <f t="shared" si="208"/>
        <v/>
      </c>
      <c r="V17" s="113">
        <f t="shared" si="209"/>
        <v>3</v>
      </c>
      <c r="W17" s="113" t="str">
        <f t="shared" si="210"/>
        <v/>
      </c>
      <c r="X17" s="113" t="str">
        <f t="shared" si="211"/>
        <v/>
      </c>
      <c r="Y17" s="113" t="str">
        <f t="shared" si="212"/>
        <v/>
      </c>
      <c r="Z17" s="113" t="str">
        <f t="shared" si="213"/>
        <v/>
      </c>
      <c r="AA17" s="113" t="str">
        <f t="shared" si="214"/>
        <v/>
      </c>
      <c r="AB17" s="113" t="str">
        <f t="shared" si="215"/>
        <v/>
      </c>
      <c r="AC17" s="113" t="str">
        <f t="shared" si="216"/>
        <v/>
      </c>
      <c r="AD17" s="113" t="str">
        <f t="shared" si="217"/>
        <v/>
      </c>
      <c r="AE17" s="113" t="str">
        <f t="shared" si="218"/>
        <v/>
      </c>
      <c r="AF17" s="113" t="str">
        <f t="shared" si="219"/>
        <v/>
      </c>
      <c r="AG17" s="113" t="str">
        <f t="shared" si="220"/>
        <v/>
      </c>
      <c r="AH17" s="113" t="str">
        <f t="shared" si="221"/>
        <v/>
      </c>
      <c r="AI17" s="113" t="str">
        <f t="shared" si="222"/>
        <v/>
      </c>
      <c r="AJ17" s="113" t="str">
        <f t="shared" si="223"/>
        <v/>
      </c>
      <c r="AK17" s="113" t="str">
        <f t="shared" si="224"/>
        <v/>
      </c>
      <c r="AL17" s="113" t="str">
        <f t="shared" si="225"/>
        <v/>
      </c>
      <c r="AM17" s="113" t="str">
        <f t="shared" si="226"/>
        <v/>
      </c>
      <c r="AN17" s="113" t="str">
        <f t="shared" si="227"/>
        <v/>
      </c>
      <c r="AO17" s="113" t="str">
        <f t="shared" si="228"/>
        <v/>
      </c>
      <c r="AP17" s="113" t="str">
        <f t="shared" si="229"/>
        <v/>
      </c>
      <c r="AQ17" s="113" t="str">
        <f t="shared" si="230"/>
        <v/>
      </c>
      <c r="AR17" s="113" t="str">
        <f t="shared" si="231"/>
        <v/>
      </c>
      <c r="AS17" s="113" t="str">
        <f t="shared" si="232"/>
        <v/>
      </c>
      <c r="AT17" s="113" t="str">
        <f t="shared" si="233"/>
        <v/>
      </c>
      <c r="AU17" s="113" t="str">
        <f t="shared" si="234"/>
        <v/>
      </c>
      <c r="AV17" s="113" t="str">
        <f t="shared" si="235"/>
        <v/>
      </c>
      <c r="AW17" s="113" t="str">
        <f t="shared" si="236"/>
        <v/>
      </c>
      <c r="AX17" s="113" t="str">
        <f t="shared" si="237"/>
        <v/>
      </c>
      <c r="AY17" s="113" t="str">
        <f t="shared" si="238"/>
        <v/>
      </c>
      <c r="AZ17" s="113" t="str">
        <f t="shared" si="239"/>
        <v/>
      </c>
      <c r="BA17" s="113" t="str">
        <f t="shared" si="240"/>
        <v/>
      </c>
      <c r="BB17" s="113" t="str">
        <f t="shared" si="241"/>
        <v/>
      </c>
      <c r="BC17" s="113" t="str">
        <f t="shared" si="242"/>
        <v/>
      </c>
      <c r="BD17" s="113" t="str">
        <f t="shared" si="243"/>
        <v/>
      </c>
      <c r="BE17" s="113" t="str">
        <f t="shared" si="244"/>
        <v/>
      </c>
      <c r="BF17" s="113" t="str">
        <f t="shared" si="245"/>
        <v/>
      </c>
      <c r="BG17" s="113" t="str">
        <f t="shared" si="246"/>
        <v/>
      </c>
      <c r="BH17" s="113" t="str">
        <f t="shared" si="247"/>
        <v/>
      </c>
      <c r="BI17" s="113" t="str">
        <f t="shared" si="248"/>
        <v/>
      </c>
      <c r="BJ17" s="113" t="str">
        <f t="shared" si="249"/>
        <v/>
      </c>
      <c r="BK17" s="113" t="str">
        <f t="shared" si="250"/>
        <v/>
      </c>
      <c r="BL17" s="113" t="str">
        <f t="shared" si="251"/>
        <v/>
      </c>
      <c r="BM17" s="113" t="str">
        <f t="shared" si="252"/>
        <v/>
      </c>
      <c r="BN17" s="113" t="str">
        <f t="shared" si="253"/>
        <v/>
      </c>
      <c r="BO17" s="113" t="str">
        <f t="shared" si="254"/>
        <v/>
      </c>
      <c r="BP17" s="113" t="str">
        <f t="shared" si="255"/>
        <v/>
      </c>
      <c r="BQ17" s="113" t="str">
        <f t="shared" si="256"/>
        <v/>
      </c>
      <c r="BR17" s="113" t="str">
        <f t="shared" si="257"/>
        <v/>
      </c>
      <c r="BS17" s="113" t="str">
        <f t="shared" si="258"/>
        <v/>
      </c>
      <c r="BT17" s="113" t="str">
        <f t="shared" si="259"/>
        <v/>
      </c>
      <c r="BU17" s="113" t="str">
        <f t="shared" si="260"/>
        <v/>
      </c>
      <c r="BV17" s="113" t="str">
        <f t="shared" si="261"/>
        <v/>
      </c>
      <c r="BW17" s="113" t="str">
        <f t="shared" si="262"/>
        <v/>
      </c>
      <c r="BX17" s="113" t="str">
        <f t="shared" si="263"/>
        <v/>
      </c>
      <c r="BY17" s="113">
        <f t="shared" si="264"/>
        <v>2649</v>
      </c>
      <c r="BZ17" s="113" t="str">
        <f t="shared" si="265"/>
        <v/>
      </c>
      <c r="CA17" s="113" t="str">
        <f t="shared" si="266"/>
        <v/>
      </c>
      <c r="CB17" s="113" t="str">
        <f t="shared" si="267"/>
        <v/>
      </c>
      <c r="CC17" s="113" t="str">
        <f t="shared" si="268"/>
        <v/>
      </c>
      <c r="CD17" s="113" t="str">
        <f t="shared" si="269"/>
        <v/>
      </c>
      <c r="CE17" s="113" t="str">
        <f t="shared" si="270"/>
        <v/>
      </c>
      <c r="CF17" s="113" t="str">
        <f t="shared" si="271"/>
        <v/>
      </c>
      <c r="CG17" s="113" t="str">
        <f t="shared" si="272"/>
        <v/>
      </c>
      <c r="CH17" s="113" t="str">
        <f t="shared" si="273"/>
        <v/>
      </c>
      <c r="CI17" s="113" t="str">
        <f t="shared" si="274"/>
        <v/>
      </c>
      <c r="CJ17" s="113" t="str">
        <f t="shared" si="275"/>
        <v/>
      </c>
      <c r="CK17" s="113" t="str">
        <f t="shared" si="276"/>
        <v/>
      </c>
      <c r="CL17" s="113" t="str">
        <f t="shared" si="277"/>
        <v/>
      </c>
      <c r="CM17" s="113" t="str">
        <f t="shared" si="278"/>
        <v/>
      </c>
      <c r="CN17" s="113" t="str">
        <f t="shared" si="279"/>
        <v/>
      </c>
      <c r="CO17" s="113" t="str">
        <f t="shared" si="280"/>
        <v/>
      </c>
      <c r="CP17" s="113" t="str">
        <f t="shared" si="281"/>
        <v/>
      </c>
      <c r="CQ17" s="113" t="str">
        <f t="shared" si="282"/>
        <v/>
      </c>
      <c r="CR17" s="113" t="str">
        <f t="shared" si="283"/>
        <v/>
      </c>
      <c r="CS17" s="113" t="str">
        <f t="shared" si="284"/>
        <v/>
      </c>
      <c r="CT17" s="113" t="str">
        <f t="shared" si="285"/>
        <v/>
      </c>
      <c r="CU17" s="113" t="str">
        <f t="shared" si="286"/>
        <v/>
      </c>
      <c r="CV17" s="113" t="str">
        <f t="shared" si="287"/>
        <v/>
      </c>
      <c r="CW17" s="113" t="str">
        <f t="shared" si="288"/>
        <v/>
      </c>
      <c r="CX17" s="113" t="str">
        <f t="shared" si="289"/>
        <v/>
      </c>
      <c r="CY17" s="113" t="str">
        <f t="shared" si="290"/>
        <v/>
      </c>
      <c r="CZ17" s="113" t="str">
        <f t="shared" si="291"/>
        <v/>
      </c>
      <c r="DA17" s="113" t="str">
        <f t="shared" si="292"/>
        <v/>
      </c>
      <c r="DB17" s="113" t="str">
        <f t="shared" si="293"/>
        <v/>
      </c>
      <c r="DC17" s="113" t="str">
        <f t="shared" si="294"/>
        <v/>
      </c>
      <c r="DD17" s="113" t="str">
        <f t="shared" si="295"/>
        <v/>
      </c>
      <c r="DE17" s="113" t="str">
        <f t="shared" si="296"/>
        <v/>
      </c>
      <c r="DF17" s="113" t="str">
        <f t="shared" si="297"/>
        <v/>
      </c>
      <c r="DG17" s="113" t="str">
        <f t="shared" si="298"/>
        <v/>
      </c>
      <c r="DH17" s="113" t="str">
        <f t="shared" si="299"/>
        <v/>
      </c>
      <c r="DI17" s="113" t="str">
        <f t="shared" si="300"/>
        <v/>
      </c>
      <c r="DJ17" s="113" t="str">
        <f t="shared" si="301"/>
        <v/>
      </c>
      <c r="DK17" s="113" t="str">
        <f t="shared" si="302"/>
        <v/>
      </c>
      <c r="DL17" s="113" t="str">
        <f t="shared" si="303"/>
        <v/>
      </c>
      <c r="DM17" s="113" t="str">
        <f t="shared" si="304"/>
        <v/>
      </c>
      <c r="DN17" s="113" t="str">
        <f t="shared" si="305"/>
        <v/>
      </c>
      <c r="DO17" s="113" t="str">
        <f t="shared" si="306"/>
        <v/>
      </c>
      <c r="DP17" s="113" t="str">
        <f t="shared" si="307"/>
        <v/>
      </c>
      <c r="DQ17" s="113" t="str">
        <f t="shared" si="308"/>
        <v/>
      </c>
      <c r="DR17" s="113">
        <f t="shared" si="309"/>
        <v>3</v>
      </c>
      <c r="DS17" s="113" t="str">
        <f t="shared" si="310"/>
        <v/>
      </c>
      <c r="DT17" s="113" t="str">
        <f t="shared" si="311"/>
        <v/>
      </c>
      <c r="DU17" s="113" t="str">
        <f t="shared" si="312"/>
        <v/>
      </c>
      <c r="DV17" s="113" t="str">
        <f t="shared" si="313"/>
        <v/>
      </c>
      <c r="DW17" s="113" t="str">
        <f t="shared" si="314"/>
        <v/>
      </c>
      <c r="DX17" s="113" t="str">
        <f t="shared" si="315"/>
        <v/>
      </c>
      <c r="DY17" s="113" t="str">
        <f t="shared" si="316"/>
        <v/>
      </c>
      <c r="DZ17" s="113" t="str">
        <f t="shared" si="317"/>
        <v/>
      </c>
      <c r="EA17" s="113" t="str">
        <f t="shared" si="318"/>
        <v/>
      </c>
      <c r="EB17" s="113" t="str">
        <f t="shared" si="319"/>
        <v/>
      </c>
      <c r="EC17" s="113" t="str">
        <f t="shared" si="320"/>
        <v/>
      </c>
      <c r="ED17" s="113" t="str">
        <f t="shared" si="321"/>
        <v/>
      </c>
      <c r="EE17" s="113" t="str">
        <f t="shared" si="322"/>
        <v/>
      </c>
      <c r="EF17" s="113" t="str">
        <f t="shared" si="323"/>
        <v/>
      </c>
      <c r="EG17" s="113" t="str">
        <f t="shared" si="324"/>
        <v/>
      </c>
      <c r="EH17" s="113" t="str">
        <f t="shared" si="325"/>
        <v/>
      </c>
      <c r="EI17" s="113" t="str">
        <f t="shared" si="326"/>
        <v/>
      </c>
      <c r="EJ17" s="113" t="str">
        <f t="shared" si="327"/>
        <v/>
      </c>
      <c r="EK17" s="113" t="str">
        <f t="shared" si="328"/>
        <v/>
      </c>
      <c r="EL17" s="113" t="str">
        <f t="shared" si="329"/>
        <v/>
      </c>
      <c r="EM17" s="113" t="str">
        <f t="shared" si="330"/>
        <v/>
      </c>
      <c r="EN17" s="113" t="str">
        <f t="shared" si="331"/>
        <v/>
      </c>
      <c r="EO17" s="113" t="str">
        <f t="shared" si="332"/>
        <v/>
      </c>
      <c r="EP17" s="113" t="str">
        <f t="shared" si="333"/>
        <v/>
      </c>
      <c r="EQ17" s="113" t="str">
        <f t="shared" si="334"/>
        <v/>
      </c>
      <c r="ER17" s="113" t="str">
        <f t="shared" si="335"/>
        <v/>
      </c>
      <c r="ES17" s="113" t="str">
        <f t="shared" si="336"/>
        <v/>
      </c>
      <c r="ET17" s="660" t="str">
        <f t="shared" si="337"/>
        <v/>
      </c>
      <c r="EU17" s="660" t="str">
        <f t="shared" si="338"/>
        <v/>
      </c>
      <c r="EV17" s="660">
        <f t="shared" si="339"/>
        <v>3</v>
      </c>
      <c r="EW17" s="660" t="str">
        <f t="shared" si="340"/>
        <v/>
      </c>
      <c r="EX17" s="660" t="str">
        <f t="shared" si="341"/>
        <v/>
      </c>
      <c r="EY17" s="660" t="str">
        <f t="shared" si="342"/>
        <v/>
      </c>
      <c r="EZ17" s="660" t="str">
        <f t="shared" si="343"/>
        <v/>
      </c>
      <c r="FA17" s="660" t="str">
        <f t="shared" si="344"/>
        <v/>
      </c>
      <c r="FB17" s="660" t="str">
        <f t="shared" si="345"/>
        <v/>
      </c>
      <c r="FC17" s="660" t="str">
        <f t="shared" si="346"/>
        <v/>
      </c>
      <c r="FD17" s="660" t="str">
        <f t="shared" si="347"/>
        <v/>
      </c>
      <c r="FE17" s="660" t="str">
        <f t="shared" si="348"/>
        <v/>
      </c>
      <c r="FF17" s="660" t="str">
        <f t="shared" si="349"/>
        <v/>
      </c>
      <c r="FG17" s="660" t="str">
        <f t="shared" si="350"/>
        <v/>
      </c>
      <c r="FH17" s="660" t="str">
        <f t="shared" si="351"/>
        <v/>
      </c>
      <c r="FI17" s="660" t="str">
        <f t="shared" si="352"/>
        <v/>
      </c>
      <c r="FJ17" s="660" t="str">
        <f t="shared" si="353"/>
        <v/>
      </c>
      <c r="FK17" s="660" t="str">
        <f t="shared" si="354"/>
        <v/>
      </c>
      <c r="FL17" s="660" t="str">
        <f t="shared" si="355"/>
        <v/>
      </c>
      <c r="FM17" s="660" t="str">
        <f t="shared" si="356"/>
        <v/>
      </c>
      <c r="FN17" s="660" t="str">
        <f t="shared" si="357"/>
        <v/>
      </c>
      <c r="FO17" s="660" t="str">
        <f t="shared" si="358"/>
        <v/>
      </c>
      <c r="FP17" s="660" t="str">
        <f t="shared" si="359"/>
        <v/>
      </c>
      <c r="FQ17" s="660" t="str">
        <f t="shared" si="360"/>
        <v/>
      </c>
      <c r="FR17" s="660" t="str">
        <f t="shared" si="361"/>
        <v/>
      </c>
      <c r="FS17" s="660" t="str">
        <f t="shared" si="362"/>
        <v/>
      </c>
      <c r="FT17" s="660" t="str">
        <f t="shared" si="363"/>
        <v/>
      </c>
      <c r="FU17" s="660" t="str">
        <f t="shared" si="364"/>
        <v/>
      </c>
      <c r="FV17" s="660" t="str">
        <f t="shared" si="365"/>
        <v/>
      </c>
      <c r="FW17" s="660" t="str">
        <f t="shared" si="366"/>
        <v/>
      </c>
      <c r="FX17" s="660" t="str">
        <f t="shared" si="367"/>
        <v/>
      </c>
      <c r="FY17" s="660" t="str">
        <f t="shared" si="368"/>
        <v/>
      </c>
      <c r="FZ17" s="660">
        <f t="shared" si="369"/>
        <v>3</v>
      </c>
      <c r="GA17" s="660" t="str">
        <f t="shared" si="370"/>
        <v/>
      </c>
      <c r="GB17" s="660" t="str">
        <f t="shared" si="371"/>
        <v/>
      </c>
      <c r="GC17" s="660" t="str">
        <f t="shared" si="372"/>
        <v/>
      </c>
      <c r="GD17" s="660" t="str">
        <f t="shared" si="373"/>
        <v/>
      </c>
      <c r="GE17" s="660" t="str">
        <f t="shared" si="374"/>
        <v/>
      </c>
      <c r="GF17" s="660" t="str">
        <f t="shared" si="375"/>
        <v/>
      </c>
      <c r="GG17" s="660" t="str">
        <f t="shared" si="376"/>
        <v/>
      </c>
      <c r="GH17" s="660" t="str">
        <f t="shared" si="377"/>
        <v/>
      </c>
      <c r="GI17" s="660" t="str">
        <f t="shared" si="378"/>
        <v/>
      </c>
      <c r="GJ17" s="660" t="str">
        <f t="shared" si="379"/>
        <v/>
      </c>
      <c r="GK17" s="660" t="str">
        <f t="shared" si="380"/>
        <v/>
      </c>
      <c r="GL17" s="660" t="str">
        <f t="shared" si="381"/>
        <v/>
      </c>
      <c r="GM17" s="661" t="str">
        <f t="shared" si="382"/>
        <v/>
      </c>
      <c r="GN17" s="661" t="str">
        <f t="shared" si="383"/>
        <v/>
      </c>
      <c r="GO17" s="661" t="str">
        <f t="shared" si="384"/>
        <v/>
      </c>
      <c r="GP17" s="661" t="str">
        <f t="shared" si="385"/>
        <v/>
      </c>
      <c r="GQ17" s="661" t="str">
        <f t="shared" si="386"/>
        <v/>
      </c>
      <c r="GR17" s="113" t="str">
        <f t="shared" si="387"/>
        <v/>
      </c>
      <c r="GS17" s="113" t="str">
        <f t="shared" si="388"/>
        <v/>
      </c>
      <c r="GT17" s="113" t="str">
        <f t="shared" si="389"/>
        <v/>
      </c>
      <c r="GU17" s="113" t="str">
        <f t="shared" si="390"/>
        <v/>
      </c>
      <c r="GV17" s="113" t="str">
        <f t="shared" si="391"/>
        <v/>
      </c>
      <c r="GW17" s="113" t="str">
        <f t="shared" si="392"/>
        <v/>
      </c>
      <c r="GX17" s="113" t="str">
        <f t="shared" si="393"/>
        <v/>
      </c>
      <c r="GY17" s="113" t="str">
        <f t="shared" si="394"/>
        <v/>
      </c>
      <c r="GZ17" s="113" t="str">
        <f t="shared" si="395"/>
        <v/>
      </c>
      <c r="HA17" s="113" t="str">
        <f t="shared" si="396"/>
        <v/>
      </c>
      <c r="HB17" s="113" t="str">
        <f t="shared" si="397"/>
        <v/>
      </c>
      <c r="HC17" s="113" t="str">
        <f t="shared" si="398"/>
        <v/>
      </c>
      <c r="HD17" s="113" t="str">
        <f t="shared" si="399"/>
        <v/>
      </c>
      <c r="HE17" s="113" t="str">
        <f t="shared" si="400"/>
        <v/>
      </c>
      <c r="HF17" s="113" t="str">
        <f t="shared" si="401"/>
        <v/>
      </c>
      <c r="HG17" s="113" t="str">
        <f t="shared" si="402"/>
        <v/>
      </c>
      <c r="HH17" s="113" t="str">
        <f t="shared" si="403"/>
        <v/>
      </c>
      <c r="HI17" s="113" t="str">
        <f t="shared" si="404"/>
        <v/>
      </c>
      <c r="HJ17" s="113" t="str">
        <f t="shared" si="405"/>
        <v/>
      </c>
      <c r="HK17" s="113" t="str">
        <f t="shared" si="406"/>
        <v/>
      </c>
    </row>
    <row r="18" spans="1:219" ht="13.2" customHeight="1">
      <c r="A18" s="146" t="str">
        <f t="shared" si="204"/>
        <v/>
      </c>
      <c r="B18" s="836" t="s">
        <v>133</v>
      </c>
      <c r="C18" s="837">
        <v>1</v>
      </c>
      <c r="D18" s="838">
        <v>1</v>
      </c>
      <c r="E18" s="839">
        <v>2</v>
      </c>
      <c r="F18" s="839">
        <v>692</v>
      </c>
      <c r="G18" s="839">
        <v>491</v>
      </c>
      <c r="H18" s="839">
        <v>497</v>
      </c>
      <c r="I18" s="839">
        <v>110</v>
      </c>
      <c r="J18" s="840" t="s">
        <v>4030</v>
      </c>
      <c r="K18" s="227">
        <f t="shared" si="205"/>
        <v>387</v>
      </c>
      <c r="L18" s="227">
        <f t="shared" si="206"/>
        <v>774</v>
      </c>
      <c r="M18" s="841" t="s">
        <v>3919</v>
      </c>
      <c r="N18" s="841" t="s">
        <v>3985</v>
      </c>
      <c r="O18" s="841" t="s">
        <v>3986</v>
      </c>
      <c r="P18" s="581">
        <f t="shared" si="1"/>
        <v>19880</v>
      </c>
      <c r="Q18" s="582">
        <f>IF(H18="","",P18/($P$6*VLOOKUP(C18,'DCA Underwriting Assumptions'!$J$77:$K$82,2,FALSE)))</f>
        <v>0.51872146118721463</v>
      </c>
      <c r="R18" s="739"/>
      <c r="S18" s="659"/>
      <c r="T18" s="113" t="str">
        <f t="shared" si="207"/>
        <v/>
      </c>
      <c r="U18" s="113" t="str">
        <f t="shared" si="208"/>
        <v/>
      </c>
      <c r="V18" s="113" t="str">
        <f t="shared" si="209"/>
        <v/>
      </c>
      <c r="W18" s="113" t="str">
        <f t="shared" si="210"/>
        <v/>
      </c>
      <c r="X18" s="113" t="str">
        <f t="shared" si="211"/>
        <v/>
      </c>
      <c r="Y18" s="113" t="str">
        <f t="shared" si="212"/>
        <v/>
      </c>
      <c r="Z18" s="113">
        <f t="shared" si="213"/>
        <v>2</v>
      </c>
      <c r="AA18" s="113" t="str">
        <f t="shared" si="214"/>
        <v/>
      </c>
      <c r="AB18" s="113" t="str">
        <f t="shared" si="215"/>
        <v/>
      </c>
      <c r="AC18" s="113" t="str">
        <f t="shared" si="216"/>
        <v/>
      </c>
      <c r="AD18" s="113" t="str">
        <f t="shared" si="217"/>
        <v/>
      </c>
      <c r="AE18" s="113" t="str">
        <f t="shared" si="218"/>
        <v/>
      </c>
      <c r="AF18" s="113" t="str">
        <f t="shared" si="219"/>
        <v/>
      </c>
      <c r="AG18" s="113" t="str">
        <f t="shared" si="220"/>
        <v/>
      </c>
      <c r="AH18" s="113" t="str">
        <f t="shared" si="221"/>
        <v/>
      </c>
      <c r="AI18" s="113" t="str">
        <f t="shared" si="222"/>
        <v/>
      </c>
      <c r="AJ18" s="113" t="str">
        <f t="shared" si="223"/>
        <v/>
      </c>
      <c r="AK18" s="113" t="str">
        <f t="shared" si="224"/>
        <v/>
      </c>
      <c r="AL18" s="113" t="str">
        <f t="shared" si="225"/>
        <v/>
      </c>
      <c r="AM18" s="113" t="str">
        <f t="shared" si="226"/>
        <v/>
      </c>
      <c r="AN18" s="113" t="str">
        <f t="shared" si="227"/>
        <v/>
      </c>
      <c r="AO18" s="113" t="str">
        <f t="shared" si="228"/>
        <v/>
      </c>
      <c r="AP18" s="113" t="str">
        <f t="shared" si="229"/>
        <v/>
      </c>
      <c r="AQ18" s="113" t="str">
        <f t="shared" si="230"/>
        <v/>
      </c>
      <c r="AR18" s="113" t="str">
        <f t="shared" si="231"/>
        <v/>
      </c>
      <c r="AS18" s="113" t="str">
        <f t="shared" si="232"/>
        <v/>
      </c>
      <c r="AT18" s="113">
        <f t="shared" si="233"/>
        <v>2</v>
      </c>
      <c r="AU18" s="113" t="str">
        <f t="shared" si="234"/>
        <v/>
      </c>
      <c r="AV18" s="113" t="str">
        <f t="shared" si="235"/>
        <v/>
      </c>
      <c r="AW18" s="113" t="str">
        <f t="shared" si="236"/>
        <v/>
      </c>
      <c r="AX18" s="113" t="str">
        <f t="shared" si="237"/>
        <v/>
      </c>
      <c r="AY18" s="113" t="str">
        <f t="shared" si="238"/>
        <v/>
      </c>
      <c r="AZ18" s="113" t="str">
        <f t="shared" si="239"/>
        <v/>
      </c>
      <c r="BA18" s="113" t="str">
        <f t="shared" si="240"/>
        <v/>
      </c>
      <c r="BB18" s="113" t="str">
        <f t="shared" si="241"/>
        <v/>
      </c>
      <c r="BC18" s="113" t="str">
        <f t="shared" si="242"/>
        <v/>
      </c>
      <c r="BD18" s="113" t="str">
        <f t="shared" si="243"/>
        <v/>
      </c>
      <c r="BE18" s="113" t="str">
        <f t="shared" si="244"/>
        <v/>
      </c>
      <c r="BF18" s="113" t="str">
        <f t="shared" si="245"/>
        <v/>
      </c>
      <c r="BG18" s="113" t="str">
        <f t="shared" si="246"/>
        <v/>
      </c>
      <c r="BH18" s="113" t="str">
        <f t="shared" si="247"/>
        <v/>
      </c>
      <c r="BI18" s="113" t="str">
        <f t="shared" si="248"/>
        <v/>
      </c>
      <c r="BJ18" s="113" t="str">
        <f t="shared" si="249"/>
        <v/>
      </c>
      <c r="BK18" s="113" t="str">
        <f t="shared" si="250"/>
        <v/>
      </c>
      <c r="BL18" s="113" t="str">
        <f t="shared" si="251"/>
        <v/>
      </c>
      <c r="BM18" s="113" t="str">
        <f t="shared" si="252"/>
        <v/>
      </c>
      <c r="BN18" s="113" t="str">
        <f t="shared" si="253"/>
        <v/>
      </c>
      <c r="BO18" s="113" t="str">
        <f t="shared" si="254"/>
        <v/>
      </c>
      <c r="BP18" s="113" t="str">
        <f t="shared" si="255"/>
        <v/>
      </c>
      <c r="BQ18" s="113" t="str">
        <f t="shared" si="256"/>
        <v/>
      </c>
      <c r="BR18" s="113" t="str">
        <f t="shared" si="257"/>
        <v/>
      </c>
      <c r="BS18" s="113" t="str">
        <f t="shared" si="258"/>
        <v/>
      </c>
      <c r="BT18" s="113" t="str">
        <f t="shared" si="259"/>
        <v/>
      </c>
      <c r="BU18" s="113" t="str">
        <f t="shared" si="260"/>
        <v/>
      </c>
      <c r="BV18" s="113" t="str">
        <f t="shared" si="261"/>
        <v/>
      </c>
      <c r="BW18" s="113" t="str">
        <f t="shared" si="262"/>
        <v/>
      </c>
      <c r="BX18" s="113" t="str">
        <f t="shared" si="263"/>
        <v/>
      </c>
      <c r="BY18" s="113" t="str">
        <f t="shared" si="264"/>
        <v/>
      </c>
      <c r="BZ18" s="113" t="str">
        <f t="shared" si="265"/>
        <v/>
      </c>
      <c r="CA18" s="113" t="str">
        <f t="shared" si="266"/>
        <v/>
      </c>
      <c r="CB18" s="113" t="str">
        <f t="shared" si="267"/>
        <v/>
      </c>
      <c r="CC18" s="113">
        <f t="shared" si="268"/>
        <v>1384</v>
      </c>
      <c r="CD18" s="113" t="str">
        <f t="shared" si="269"/>
        <v/>
      </c>
      <c r="CE18" s="113" t="str">
        <f t="shared" si="270"/>
        <v/>
      </c>
      <c r="CF18" s="113" t="str">
        <f t="shared" si="271"/>
        <v/>
      </c>
      <c r="CG18" s="113" t="str">
        <f t="shared" si="272"/>
        <v/>
      </c>
      <c r="CH18" s="113" t="str">
        <f t="shared" si="273"/>
        <v/>
      </c>
      <c r="CI18" s="113" t="str">
        <f t="shared" si="274"/>
        <v/>
      </c>
      <c r="CJ18" s="113" t="str">
        <f t="shared" si="275"/>
        <v/>
      </c>
      <c r="CK18" s="113" t="str">
        <f t="shared" si="276"/>
        <v/>
      </c>
      <c r="CL18" s="113" t="str">
        <f t="shared" si="277"/>
        <v/>
      </c>
      <c r="CM18" s="113" t="str">
        <f t="shared" si="278"/>
        <v/>
      </c>
      <c r="CN18" s="113" t="str">
        <f t="shared" si="279"/>
        <v/>
      </c>
      <c r="CO18" s="113" t="str">
        <f t="shared" si="280"/>
        <v/>
      </c>
      <c r="CP18" s="113" t="str">
        <f t="shared" si="281"/>
        <v/>
      </c>
      <c r="CQ18" s="113" t="str">
        <f t="shared" si="282"/>
        <v/>
      </c>
      <c r="CR18" s="113">
        <f t="shared" si="283"/>
        <v>1384</v>
      </c>
      <c r="CS18" s="113" t="str">
        <f t="shared" si="284"/>
        <v/>
      </c>
      <c r="CT18" s="113" t="str">
        <f t="shared" si="285"/>
        <v/>
      </c>
      <c r="CU18" s="113" t="str">
        <f t="shared" si="286"/>
        <v/>
      </c>
      <c r="CV18" s="113" t="str">
        <f t="shared" si="287"/>
        <v/>
      </c>
      <c r="CW18" s="113" t="str">
        <f t="shared" si="288"/>
        <v/>
      </c>
      <c r="CX18" s="113" t="str">
        <f t="shared" si="289"/>
        <v/>
      </c>
      <c r="CY18" s="113" t="str">
        <f t="shared" si="290"/>
        <v/>
      </c>
      <c r="CZ18" s="113" t="str">
        <f t="shared" si="291"/>
        <v/>
      </c>
      <c r="DA18" s="113" t="str">
        <f t="shared" si="292"/>
        <v/>
      </c>
      <c r="DB18" s="113" t="str">
        <f t="shared" si="293"/>
        <v/>
      </c>
      <c r="DC18" s="113" t="str">
        <f t="shared" si="294"/>
        <v/>
      </c>
      <c r="DD18" s="113" t="str">
        <f t="shared" si="295"/>
        <v/>
      </c>
      <c r="DE18" s="113" t="str">
        <f t="shared" si="296"/>
        <v/>
      </c>
      <c r="DF18" s="113" t="str">
        <f t="shared" si="297"/>
        <v/>
      </c>
      <c r="DG18" s="113" t="str">
        <f t="shared" si="298"/>
        <v/>
      </c>
      <c r="DH18" s="113" t="str">
        <f t="shared" si="299"/>
        <v/>
      </c>
      <c r="DI18" s="113" t="str">
        <f t="shared" si="300"/>
        <v/>
      </c>
      <c r="DJ18" s="113" t="str">
        <f t="shared" si="301"/>
        <v/>
      </c>
      <c r="DK18" s="113" t="str">
        <f t="shared" si="302"/>
        <v/>
      </c>
      <c r="DL18" s="113" t="str">
        <f t="shared" si="303"/>
        <v/>
      </c>
      <c r="DM18" s="113" t="str">
        <f t="shared" si="304"/>
        <v/>
      </c>
      <c r="DN18" s="113" t="str">
        <f t="shared" si="305"/>
        <v/>
      </c>
      <c r="DO18" s="113" t="str">
        <f t="shared" si="306"/>
        <v/>
      </c>
      <c r="DP18" s="113" t="str">
        <f t="shared" si="307"/>
        <v/>
      </c>
      <c r="DQ18" s="113">
        <f t="shared" si="308"/>
        <v>2</v>
      </c>
      <c r="DR18" s="113" t="str">
        <f t="shared" si="309"/>
        <v/>
      </c>
      <c r="DS18" s="113" t="str">
        <f t="shared" si="310"/>
        <v/>
      </c>
      <c r="DT18" s="113" t="str">
        <f t="shared" si="311"/>
        <v/>
      </c>
      <c r="DU18" s="113" t="str">
        <f t="shared" si="312"/>
        <v/>
      </c>
      <c r="DV18" s="113" t="str">
        <f t="shared" si="313"/>
        <v/>
      </c>
      <c r="DW18" s="113" t="str">
        <f t="shared" si="314"/>
        <v/>
      </c>
      <c r="DX18" s="113" t="str">
        <f t="shared" si="315"/>
        <v/>
      </c>
      <c r="DY18" s="113" t="str">
        <f t="shared" si="316"/>
        <v/>
      </c>
      <c r="DZ18" s="113" t="str">
        <f t="shared" si="317"/>
        <v/>
      </c>
      <c r="EA18" s="113" t="str">
        <f t="shared" si="318"/>
        <v/>
      </c>
      <c r="EB18" s="113" t="str">
        <f t="shared" si="319"/>
        <v/>
      </c>
      <c r="EC18" s="113" t="str">
        <f t="shared" si="320"/>
        <v/>
      </c>
      <c r="ED18" s="113" t="str">
        <f t="shared" si="321"/>
        <v/>
      </c>
      <c r="EE18" s="113" t="str">
        <f t="shared" si="322"/>
        <v/>
      </c>
      <c r="EF18" s="113" t="str">
        <f t="shared" si="323"/>
        <v/>
      </c>
      <c r="EG18" s="113" t="str">
        <f t="shared" si="324"/>
        <v/>
      </c>
      <c r="EH18" s="113" t="str">
        <f t="shared" si="325"/>
        <v/>
      </c>
      <c r="EI18" s="113" t="str">
        <f t="shared" si="326"/>
        <v/>
      </c>
      <c r="EJ18" s="113" t="str">
        <f t="shared" si="327"/>
        <v/>
      </c>
      <c r="EK18" s="113" t="str">
        <f t="shared" si="328"/>
        <v/>
      </c>
      <c r="EL18" s="113" t="str">
        <f t="shared" si="329"/>
        <v/>
      </c>
      <c r="EM18" s="113" t="str">
        <f t="shared" si="330"/>
        <v/>
      </c>
      <c r="EN18" s="113" t="str">
        <f t="shared" si="331"/>
        <v/>
      </c>
      <c r="EO18" s="113" t="str">
        <f t="shared" si="332"/>
        <v/>
      </c>
      <c r="EP18" s="113" t="str">
        <f t="shared" si="333"/>
        <v/>
      </c>
      <c r="EQ18" s="113" t="str">
        <f t="shared" si="334"/>
        <v/>
      </c>
      <c r="ER18" s="113" t="str">
        <f t="shared" si="335"/>
        <v/>
      </c>
      <c r="ES18" s="113" t="str">
        <f t="shared" si="336"/>
        <v/>
      </c>
      <c r="ET18" s="660" t="str">
        <f t="shared" si="337"/>
        <v/>
      </c>
      <c r="EU18" s="660">
        <f t="shared" si="338"/>
        <v>2</v>
      </c>
      <c r="EV18" s="660" t="str">
        <f t="shared" si="339"/>
        <v/>
      </c>
      <c r="EW18" s="660" t="str">
        <f t="shared" si="340"/>
        <v/>
      </c>
      <c r="EX18" s="660" t="str">
        <f t="shared" si="341"/>
        <v/>
      </c>
      <c r="EY18" s="660" t="str">
        <f t="shared" si="342"/>
        <v/>
      </c>
      <c r="EZ18" s="660" t="str">
        <f t="shared" si="343"/>
        <v/>
      </c>
      <c r="FA18" s="660" t="str">
        <f t="shared" si="344"/>
        <v/>
      </c>
      <c r="FB18" s="660" t="str">
        <f t="shared" si="345"/>
        <v/>
      </c>
      <c r="FC18" s="660" t="str">
        <f t="shared" si="346"/>
        <v/>
      </c>
      <c r="FD18" s="660" t="str">
        <f t="shared" si="347"/>
        <v/>
      </c>
      <c r="FE18" s="660" t="str">
        <f t="shared" si="348"/>
        <v/>
      </c>
      <c r="FF18" s="660" t="str">
        <f t="shared" si="349"/>
        <v/>
      </c>
      <c r="FG18" s="660" t="str">
        <f t="shared" si="350"/>
        <v/>
      </c>
      <c r="FH18" s="660" t="str">
        <f t="shared" si="351"/>
        <v/>
      </c>
      <c r="FI18" s="660" t="str">
        <f t="shared" si="352"/>
        <v/>
      </c>
      <c r="FJ18" s="660" t="str">
        <f t="shared" si="353"/>
        <v/>
      </c>
      <c r="FK18" s="660" t="str">
        <f t="shared" si="354"/>
        <v/>
      </c>
      <c r="FL18" s="660" t="str">
        <f t="shared" si="355"/>
        <v/>
      </c>
      <c r="FM18" s="660" t="str">
        <f t="shared" si="356"/>
        <v/>
      </c>
      <c r="FN18" s="660" t="str">
        <f t="shared" si="357"/>
        <v/>
      </c>
      <c r="FO18" s="660" t="str">
        <f t="shared" si="358"/>
        <v/>
      </c>
      <c r="FP18" s="660" t="str">
        <f t="shared" si="359"/>
        <v/>
      </c>
      <c r="FQ18" s="660" t="str">
        <f t="shared" si="360"/>
        <v/>
      </c>
      <c r="FR18" s="660" t="str">
        <f t="shared" si="361"/>
        <v/>
      </c>
      <c r="FS18" s="660" t="str">
        <f t="shared" si="362"/>
        <v/>
      </c>
      <c r="FT18" s="660" t="str">
        <f t="shared" si="363"/>
        <v/>
      </c>
      <c r="FU18" s="660" t="str">
        <f t="shared" si="364"/>
        <v/>
      </c>
      <c r="FV18" s="660" t="str">
        <f t="shared" si="365"/>
        <v/>
      </c>
      <c r="FW18" s="660" t="str">
        <f t="shared" si="366"/>
        <v/>
      </c>
      <c r="FX18" s="660" t="str">
        <f t="shared" si="367"/>
        <v/>
      </c>
      <c r="FY18" s="660">
        <f t="shared" si="368"/>
        <v>2</v>
      </c>
      <c r="FZ18" s="660" t="str">
        <f t="shared" si="369"/>
        <v/>
      </c>
      <c r="GA18" s="660" t="str">
        <f t="shared" si="370"/>
        <v/>
      </c>
      <c r="GB18" s="660" t="str">
        <f t="shared" si="371"/>
        <v/>
      </c>
      <c r="GC18" s="660" t="str">
        <f t="shared" si="372"/>
        <v/>
      </c>
      <c r="GD18" s="660" t="str">
        <f t="shared" si="373"/>
        <v/>
      </c>
      <c r="GE18" s="660" t="str">
        <f t="shared" si="374"/>
        <v/>
      </c>
      <c r="GF18" s="660" t="str">
        <f t="shared" si="375"/>
        <v/>
      </c>
      <c r="GG18" s="660" t="str">
        <f t="shared" si="376"/>
        <v/>
      </c>
      <c r="GH18" s="660" t="str">
        <f t="shared" si="377"/>
        <v/>
      </c>
      <c r="GI18" s="660" t="str">
        <f t="shared" si="378"/>
        <v/>
      </c>
      <c r="GJ18" s="660" t="str">
        <f t="shared" si="379"/>
        <v/>
      </c>
      <c r="GK18" s="660" t="str">
        <f t="shared" si="380"/>
        <v/>
      </c>
      <c r="GL18" s="660" t="str">
        <f t="shared" si="381"/>
        <v/>
      </c>
      <c r="GM18" s="661" t="str">
        <f t="shared" si="382"/>
        <v/>
      </c>
      <c r="GN18" s="661" t="str">
        <f t="shared" si="383"/>
        <v/>
      </c>
      <c r="GO18" s="661" t="str">
        <f t="shared" si="384"/>
        <v/>
      </c>
      <c r="GP18" s="661" t="str">
        <f t="shared" si="385"/>
        <v/>
      </c>
      <c r="GQ18" s="661" t="str">
        <f t="shared" si="386"/>
        <v/>
      </c>
      <c r="GR18" s="113" t="str">
        <f t="shared" si="387"/>
        <v/>
      </c>
      <c r="GS18" s="113" t="str">
        <f t="shared" si="388"/>
        <v/>
      </c>
      <c r="GT18" s="113" t="str">
        <f t="shared" si="389"/>
        <v/>
      </c>
      <c r="GU18" s="113" t="str">
        <f t="shared" si="390"/>
        <v/>
      </c>
      <c r="GV18" s="113" t="str">
        <f t="shared" si="391"/>
        <v/>
      </c>
      <c r="GW18" s="113" t="str">
        <f t="shared" si="392"/>
        <v/>
      </c>
      <c r="GX18" s="113" t="str">
        <f t="shared" si="393"/>
        <v/>
      </c>
      <c r="GY18" s="113" t="str">
        <f t="shared" si="394"/>
        <v/>
      </c>
      <c r="GZ18" s="113" t="str">
        <f t="shared" si="395"/>
        <v/>
      </c>
      <c r="HA18" s="113" t="str">
        <f t="shared" si="396"/>
        <v/>
      </c>
      <c r="HB18" s="113" t="str">
        <f t="shared" si="397"/>
        <v/>
      </c>
      <c r="HC18" s="113" t="str">
        <f t="shared" si="398"/>
        <v/>
      </c>
      <c r="HD18" s="113" t="str">
        <f t="shared" si="399"/>
        <v/>
      </c>
      <c r="HE18" s="113" t="str">
        <f t="shared" si="400"/>
        <v/>
      </c>
      <c r="HF18" s="113" t="str">
        <f t="shared" si="401"/>
        <v/>
      </c>
      <c r="HG18" s="113" t="str">
        <f t="shared" si="402"/>
        <v/>
      </c>
      <c r="HH18" s="113" t="str">
        <f t="shared" si="403"/>
        <v/>
      </c>
      <c r="HI18" s="113" t="str">
        <f t="shared" si="404"/>
        <v/>
      </c>
      <c r="HJ18" s="113" t="str">
        <f t="shared" si="405"/>
        <v/>
      </c>
      <c r="HK18" s="113" t="str">
        <f t="shared" si="406"/>
        <v/>
      </c>
    </row>
    <row r="19" spans="1:219" ht="13.2" customHeight="1">
      <c r="A19" s="146" t="str">
        <f t="shared" si="204"/>
        <v/>
      </c>
      <c r="B19" s="836" t="s">
        <v>133</v>
      </c>
      <c r="C19" s="837">
        <v>1</v>
      </c>
      <c r="D19" s="838">
        <v>1</v>
      </c>
      <c r="E19" s="839">
        <v>2</v>
      </c>
      <c r="F19" s="839">
        <v>718</v>
      </c>
      <c r="G19" s="839">
        <v>491</v>
      </c>
      <c r="H19" s="839">
        <v>497</v>
      </c>
      <c r="I19" s="839">
        <v>110</v>
      </c>
      <c r="J19" s="840" t="s">
        <v>4030</v>
      </c>
      <c r="K19" s="227">
        <f t="shared" si="205"/>
        <v>387</v>
      </c>
      <c r="L19" s="227">
        <f t="shared" si="206"/>
        <v>774</v>
      </c>
      <c r="M19" s="841" t="s">
        <v>3919</v>
      </c>
      <c r="N19" s="841" t="s">
        <v>3985</v>
      </c>
      <c r="O19" s="841" t="s">
        <v>3986</v>
      </c>
      <c r="P19" s="581">
        <f t="shared" si="1"/>
        <v>19880</v>
      </c>
      <c r="Q19" s="582">
        <f>IF(H19="","",P19/($P$6*VLOOKUP(C19,'DCA Underwriting Assumptions'!$J$77:$K$82,2,FALSE)))</f>
        <v>0.51872146118721463</v>
      </c>
      <c r="R19" s="739"/>
      <c r="S19" s="659"/>
      <c r="T19" s="113" t="str">
        <f t="shared" si="207"/>
        <v/>
      </c>
      <c r="U19" s="113" t="str">
        <f t="shared" si="208"/>
        <v/>
      </c>
      <c r="V19" s="113" t="str">
        <f t="shared" si="209"/>
        <v/>
      </c>
      <c r="W19" s="113" t="str">
        <f t="shared" si="210"/>
        <v/>
      </c>
      <c r="X19" s="113" t="str">
        <f t="shared" si="211"/>
        <v/>
      </c>
      <c r="Y19" s="113" t="str">
        <f t="shared" si="212"/>
        <v/>
      </c>
      <c r="Z19" s="113">
        <f t="shared" si="213"/>
        <v>2</v>
      </c>
      <c r="AA19" s="113" t="str">
        <f t="shared" si="214"/>
        <v/>
      </c>
      <c r="AB19" s="113" t="str">
        <f t="shared" si="215"/>
        <v/>
      </c>
      <c r="AC19" s="113" t="str">
        <f t="shared" si="216"/>
        <v/>
      </c>
      <c r="AD19" s="113" t="str">
        <f t="shared" si="217"/>
        <v/>
      </c>
      <c r="AE19" s="113" t="str">
        <f t="shared" si="218"/>
        <v/>
      </c>
      <c r="AF19" s="113" t="str">
        <f t="shared" si="219"/>
        <v/>
      </c>
      <c r="AG19" s="113" t="str">
        <f t="shared" si="220"/>
        <v/>
      </c>
      <c r="AH19" s="113" t="str">
        <f t="shared" si="221"/>
        <v/>
      </c>
      <c r="AI19" s="113" t="str">
        <f t="shared" si="222"/>
        <v/>
      </c>
      <c r="AJ19" s="113" t="str">
        <f t="shared" si="223"/>
        <v/>
      </c>
      <c r="AK19" s="113" t="str">
        <f t="shared" si="224"/>
        <v/>
      </c>
      <c r="AL19" s="113" t="str">
        <f t="shared" si="225"/>
        <v/>
      </c>
      <c r="AM19" s="113" t="str">
        <f t="shared" si="226"/>
        <v/>
      </c>
      <c r="AN19" s="113" t="str">
        <f t="shared" si="227"/>
        <v/>
      </c>
      <c r="AO19" s="113" t="str">
        <f t="shared" si="228"/>
        <v/>
      </c>
      <c r="AP19" s="113" t="str">
        <f t="shared" si="229"/>
        <v/>
      </c>
      <c r="AQ19" s="113" t="str">
        <f t="shared" si="230"/>
        <v/>
      </c>
      <c r="AR19" s="113" t="str">
        <f t="shared" si="231"/>
        <v/>
      </c>
      <c r="AS19" s="113" t="str">
        <f t="shared" si="232"/>
        <v/>
      </c>
      <c r="AT19" s="113">
        <f t="shared" si="233"/>
        <v>2</v>
      </c>
      <c r="AU19" s="113" t="str">
        <f t="shared" si="234"/>
        <v/>
      </c>
      <c r="AV19" s="113" t="str">
        <f t="shared" si="235"/>
        <v/>
      </c>
      <c r="AW19" s="113" t="str">
        <f t="shared" si="236"/>
        <v/>
      </c>
      <c r="AX19" s="113" t="str">
        <f t="shared" si="237"/>
        <v/>
      </c>
      <c r="AY19" s="113" t="str">
        <f t="shared" si="238"/>
        <v/>
      </c>
      <c r="AZ19" s="113" t="str">
        <f t="shared" si="239"/>
        <v/>
      </c>
      <c r="BA19" s="113" t="str">
        <f t="shared" si="240"/>
        <v/>
      </c>
      <c r="BB19" s="113" t="str">
        <f t="shared" si="241"/>
        <v/>
      </c>
      <c r="BC19" s="113" t="str">
        <f t="shared" si="242"/>
        <v/>
      </c>
      <c r="BD19" s="113" t="str">
        <f t="shared" si="243"/>
        <v/>
      </c>
      <c r="BE19" s="113" t="str">
        <f t="shared" si="244"/>
        <v/>
      </c>
      <c r="BF19" s="113" t="str">
        <f t="shared" si="245"/>
        <v/>
      </c>
      <c r="BG19" s="113" t="str">
        <f t="shared" si="246"/>
        <v/>
      </c>
      <c r="BH19" s="113" t="str">
        <f t="shared" si="247"/>
        <v/>
      </c>
      <c r="BI19" s="113" t="str">
        <f t="shared" si="248"/>
        <v/>
      </c>
      <c r="BJ19" s="113" t="str">
        <f t="shared" si="249"/>
        <v/>
      </c>
      <c r="BK19" s="113" t="str">
        <f t="shared" si="250"/>
        <v/>
      </c>
      <c r="BL19" s="113" t="str">
        <f t="shared" si="251"/>
        <v/>
      </c>
      <c r="BM19" s="113" t="str">
        <f t="shared" si="252"/>
        <v/>
      </c>
      <c r="BN19" s="113" t="str">
        <f t="shared" si="253"/>
        <v/>
      </c>
      <c r="BO19" s="113" t="str">
        <f t="shared" si="254"/>
        <v/>
      </c>
      <c r="BP19" s="113" t="str">
        <f t="shared" si="255"/>
        <v/>
      </c>
      <c r="BQ19" s="113" t="str">
        <f t="shared" si="256"/>
        <v/>
      </c>
      <c r="BR19" s="113" t="str">
        <f t="shared" si="257"/>
        <v/>
      </c>
      <c r="BS19" s="113" t="str">
        <f t="shared" si="258"/>
        <v/>
      </c>
      <c r="BT19" s="113" t="str">
        <f t="shared" si="259"/>
        <v/>
      </c>
      <c r="BU19" s="113" t="str">
        <f t="shared" si="260"/>
        <v/>
      </c>
      <c r="BV19" s="113" t="str">
        <f t="shared" si="261"/>
        <v/>
      </c>
      <c r="BW19" s="113" t="str">
        <f t="shared" si="262"/>
        <v/>
      </c>
      <c r="BX19" s="113" t="str">
        <f t="shared" si="263"/>
        <v/>
      </c>
      <c r="BY19" s="113" t="str">
        <f t="shared" si="264"/>
        <v/>
      </c>
      <c r="BZ19" s="113" t="str">
        <f t="shared" si="265"/>
        <v/>
      </c>
      <c r="CA19" s="113" t="str">
        <f t="shared" si="266"/>
        <v/>
      </c>
      <c r="CB19" s="113" t="str">
        <f t="shared" si="267"/>
        <v/>
      </c>
      <c r="CC19" s="113">
        <f t="shared" si="268"/>
        <v>1436</v>
      </c>
      <c r="CD19" s="113" t="str">
        <f t="shared" si="269"/>
        <v/>
      </c>
      <c r="CE19" s="113" t="str">
        <f t="shared" si="270"/>
        <v/>
      </c>
      <c r="CF19" s="113" t="str">
        <f t="shared" si="271"/>
        <v/>
      </c>
      <c r="CG19" s="113" t="str">
        <f t="shared" si="272"/>
        <v/>
      </c>
      <c r="CH19" s="113" t="str">
        <f t="shared" si="273"/>
        <v/>
      </c>
      <c r="CI19" s="113" t="str">
        <f t="shared" si="274"/>
        <v/>
      </c>
      <c r="CJ19" s="113" t="str">
        <f t="shared" si="275"/>
        <v/>
      </c>
      <c r="CK19" s="113" t="str">
        <f t="shared" si="276"/>
        <v/>
      </c>
      <c r="CL19" s="113" t="str">
        <f t="shared" si="277"/>
        <v/>
      </c>
      <c r="CM19" s="113" t="str">
        <f t="shared" si="278"/>
        <v/>
      </c>
      <c r="CN19" s="113" t="str">
        <f t="shared" si="279"/>
        <v/>
      </c>
      <c r="CO19" s="113" t="str">
        <f t="shared" si="280"/>
        <v/>
      </c>
      <c r="CP19" s="113" t="str">
        <f t="shared" si="281"/>
        <v/>
      </c>
      <c r="CQ19" s="113" t="str">
        <f t="shared" si="282"/>
        <v/>
      </c>
      <c r="CR19" s="113">
        <f t="shared" si="283"/>
        <v>1436</v>
      </c>
      <c r="CS19" s="113" t="str">
        <f t="shared" si="284"/>
        <v/>
      </c>
      <c r="CT19" s="113" t="str">
        <f t="shared" si="285"/>
        <v/>
      </c>
      <c r="CU19" s="113" t="str">
        <f t="shared" si="286"/>
        <v/>
      </c>
      <c r="CV19" s="113" t="str">
        <f t="shared" si="287"/>
        <v/>
      </c>
      <c r="CW19" s="113" t="str">
        <f t="shared" si="288"/>
        <v/>
      </c>
      <c r="CX19" s="113" t="str">
        <f t="shared" si="289"/>
        <v/>
      </c>
      <c r="CY19" s="113" t="str">
        <f t="shared" si="290"/>
        <v/>
      </c>
      <c r="CZ19" s="113" t="str">
        <f t="shared" si="291"/>
        <v/>
      </c>
      <c r="DA19" s="113" t="str">
        <f t="shared" si="292"/>
        <v/>
      </c>
      <c r="DB19" s="113" t="str">
        <f t="shared" si="293"/>
        <v/>
      </c>
      <c r="DC19" s="113" t="str">
        <f t="shared" si="294"/>
        <v/>
      </c>
      <c r="DD19" s="113" t="str">
        <f t="shared" si="295"/>
        <v/>
      </c>
      <c r="DE19" s="113" t="str">
        <f t="shared" si="296"/>
        <v/>
      </c>
      <c r="DF19" s="113" t="str">
        <f t="shared" si="297"/>
        <v/>
      </c>
      <c r="DG19" s="113" t="str">
        <f t="shared" si="298"/>
        <v/>
      </c>
      <c r="DH19" s="113" t="str">
        <f t="shared" si="299"/>
        <v/>
      </c>
      <c r="DI19" s="113" t="str">
        <f t="shared" si="300"/>
        <v/>
      </c>
      <c r="DJ19" s="113" t="str">
        <f t="shared" si="301"/>
        <v/>
      </c>
      <c r="DK19" s="113" t="str">
        <f t="shared" si="302"/>
        <v/>
      </c>
      <c r="DL19" s="113" t="str">
        <f t="shared" si="303"/>
        <v/>
      </c>
      <c r="DM19" s="113" t="str">
        <f t="shared" si="304"/>
        <v/>
      </c>
      <c r="DN19" s="113" t="str">
        <f t="shared" si="305"/>
        <v/>
      </c>
      <c r="DO19" s="113" t="str">
        <f t="shared" si="306"/>
        <v/>
      </c>
      <c r="DP19" s="113" t="str">
        <f t="shared" si="307"/>
        <v/>
      </c>
      <c r="DQ19" s="113">
        <f t="shared" si="308"/>
        <v>2</v>
      </c>
      <c r="DR19" s="113" t="str">
        <f t="shared" si="309"/>
        <v/>
      </c>
      <c r="DS19" s="113" t="str">
        <f t="shared" si="310"/>
        <v/>
      </c>
      <c r="DT19" s="113" t="str">
        <f t="shared" si="311"/>
        <v/>
      </c>
      <c r="DU19" s="113" t="str">
        <f t="shared" si="312"/>
        <v/>
      </c>
      <c r="DV19" s="113" t="str">
        <f t="shared" si="313"/>
        <v/>
      </c>
      <c r="DW19" s="113" t="str">
        <f t="shared" si="314"/>
        <v/>
      </c>
      <c r="DX19" s="113" t="str">
        <f t="shared" si="315"/>
        <v/>
      </c>
      <c r="DY19" s="113" t="str">
        <f t="shared" si="316"/>
        <v/>
      </c>
      <c r="DZ19" s="113" t="str">
        <f t="shared" si="317"/>
        <v/>
      </c>
      <c r="EA19" s="113" t="str">
        <f t="shared" si="318"/>
        <v/>
      </c>
      <c r="EB19" s="113" t="str">
        <f t="shared" si="319"/>
        <v/>
      </c>
      <c r="EC19" s="113" t="str">
        <f t="shared" si="320"/>
        <v/>
      </c>
      <c r="ED19" s="113" t="str">
        <f t="shared" si="321"/>
        <v/>
      </c>
      <c r="EE19" s="113" t="str">
        <f t="shared" si="322"/>
        <v/>
      </c>
      <c r="EF19" s="113" t="str">
        <f t="shared" si="323"/>
        <v/>
      </c>
      <c r="EG19" s="113" t="str">
        <f t="shared" si="324"/>
        <v/>
      </c>
      <c r="EH19" s="113" t="str">
        <f t="shared" si="325"/>
        <v/>
      </c>
      <c r="EI19" s="113" t="str">
        <f t="shared" si="326"/>
        <v/>
      </c>
      <c r="EJ19" s="113" t="str">
        <f t="shared" si="327"/>
        <v/>
      </c>
      <c r="EK19" s="113" t="str">
        <f t="shared" si="328"/>
        <v/>
      </c>
      <c r="EL19" s="113" t="str">
        <f t="shared" si="329"/>
        <v/>
      </c>
      <c r="EM19" s="113" t="str">
        <f t="shared" si="330"/>
        <v/>
      </c>
      <c r="EN19" s="113" t="str">
        <f t="shared" si="331"/>
        <v/>
      </c>
      <c r="EO19" s="113" t="str">
        <f t="shared" si="332"/>
        <v/>
      </c>
      <c r="EP19" s="113" t="str">
        <f t="shared" si="333"/>
        <v/>
      </c>
      <c r="EQ19" s="113" t="str">
        <f t="shared" si="334"/>
        <v/>
      </c>
      <c r="ER19" s="113" t="str">
        <f t="shared" si="335"/>
        <v/>
      </c>
      <c r="ES19" s="113" t="str">
        <f t="shared" si="336"/>
        <v/>
      </c>
      <c r="ET19" s="660" t="str">
        <f t="shared" si="337"/>
        <v/>
      </c>
      <c r="EU19" s="660">
        <f t="shared" si="338"/>
        <v>2</v>
      </c>
      <c r="EV19" s="660" t="str">
        <f t="shared" si="339"/>
        <v/>
      </c>
      <c r="EW19" s="660" t="str">
        <f t="shared" si="340"/>
        <v/>
      </c>
      <c r="EX19" s="660" t="str">
        <f t="shared" si="341"/>
        <v/>
      </c>
      <c r="EY19" s="660" t="str">
        <f t="shared" si="342"/>
        <v/>
      </c>
      <c r="EZ19" s="660" t="str">
        <f t="shared" si="343"/>
        <v/>
      </c>
      <c r="FA19" s="660" t="str">
        <f t="shared" si="344"/>
        <v/>
      </c>
      <c r="FB19" s="660" t="str">
        <f t="shared" si="345"/>
        <v/>
      </c>
      <c r="FC19" s="660" t="str">
        <f t="shared" si="346"/>
        <v/>
      </c>
      <c r="FD19" s="660" t="str">
        <f t="shared" si="347"/>
        <v/>
      </c>
      <c r="FE19" s="660" t="str">
        <f t="shared" si="348"/>
        <v/>
      </c>
      <c r="FF19" s="660" t="str">
        <f t="shared" si="349"/>
        <v/>
      </c>
      <c r="FG19" s="660" t="str">
        <f t="shared" si="350"/>
        <v/>
      </c>
      <c r="FH19" s="660" t="str">
        <f t="shared" si="351"/>
        <v/>
      </c>
      <c r="FI19" s="660" t="str">
        <f t="shared" si="352"/>
        <v/>
      </c>
      <c r="FJ19" s="660" t="str">
        <f t="shared" si="353"/>
        <v/>
      </c>
      <c r="FK19" s="660" t="str">
        <f t="shared" si="354"/>
        <v/>
      </c>
      <c r="FL19" s="660" t="str">
        <f t="shared" si="355"/>
        <v/>
      </c>
      <c r="FM19" s="660" t="str">
        <f t="shared" si="356"/>
        <v/>
      </c>
      <c r="FN19" s="660" t="str">
        <f t="shared" si="357"/>
        <v/>
      </c>
      <c r="FO19" s="660" t="str">
        <f t="shared" si="358"/>
        <v/>
      </c>
      <c r="FP19" s="660" t="str">
        <f t="shared" si="359"/>
        <v/>
      </c>
      <c r="FQ19" s="660" t="str">
        <f t="shared" si="360"/>
        <v/>
      </c>
      <c r="FR19" s="660" t="str">
        <f t="shared" si="361"/>
        <v/>
      </c>
      <c r="FS19" s="660" t="str">
        <f t="shared" si="362"/>
        <v/>
      </c>
      <c r="FT19" s="660" t="str">
        <f t="shared" si="363"/>
        <v/>
      </c>
      <c r="FU19" s="660" t="str">
        <f t="shared" si="364"/>
        <v/>
      </c>
      <c r="FV19" s="660" t="str">
        <f t="shared" si="365"/>
        <v/>
      </c>
      <c r="FW19" s="660" t="str">
        <f t="shared" si="366"/>
        <v/>
      </c>
      <c r="FX19" s="660" t="str">
        <f t="shared" si="367"/>
        <v/>
      </c>
      <c r="FY19" s="660">
        <f t="shared" si="368"/>
        <v>2</v>
      </c>
      <c r="FZ19" s="660" t="str">
        <f t="shared" si="369"/>
        <v/>
      </c>
      <c r="GA19" s="660" t="str">
        <f t="shared" si="370"/>
        <v/>
      </c>
      <c r="GB19" s="660" t="str">
        <f t="shared" si="371"/>
        <v/>
      </c>
      <c r="GC19" s="660" t="str">
        <f t="shared" si="372"/>
        <v/>
      </c>
      <c r="GD19" s="660" t="str">
        <f t="shared" si="373"/>
        <v/>
      </c>
      <c r="GE19" s="660" t="str">
        <f t="shared" si="374"/>
        <v/>
      </c>
      <c r="GF19" s="660" t="str">
        <f t="shared" si="375"/>
        <v/>
      </c>
      <c r="GG19" s="660" t="str">
        <f t="shared" si="376"/>
        <v/>
      </c>
      <c r="GH19" s="660" t="str">
        <f t="shared" si="377"/>
        <v/>
      </c>
      <c r="GI19" s="660" t="str">
        <f t="shared" si="378"/>
        <v/>
      </c>
      <c r="GJ19" s="660" t="str">
        <f t="shared" si="379"/>
        <v/>
      </c>
      <c r="GK19" s="660" t="str">
        <f t="shared" si="380"/>
        <v/>
      </c>
      <c r="GL19" s="660" t="str">
        <f t="shared" si="381"/>
        <v/>
      </c>
      <c r="GM19" s="661" t="str">
        <f t="shared" si="382"/>
        <v/>
      </c>
      <c r="GN19" s="661" t="str">
        <f t="shared" si="383"/>
        <v/>
      </c>
      <c r="GO19" s="661" t="str">
        <f t="shared" si="384"/>
        <v/>
      </c>
      <c r="GP19" s="661" t="str">
        <f t="shared" si="385"/>
        <v/>
      </c>
      <c r="GQ19" s="661" t="str">
        <f t="shared" si="386"/>
        <v/>
      </c>
      <c r="GR19" s="113" t="str">
        <f t="shared" si="387"/>
        <v/>
      </c>
      <c r="GS19" s="113" t="str">
        <f t="shared" si="388"/>
        <v/>
      </c>
      <c r="GT19" s="113" t="str">
        <f t="shared" si="389"/>
        <v/>
      </c>
      <c r="GU19" s="113" t="str">
        <f t="shared" si="390"/>
        <v/>
      </c>
      <c r="GV19" s="113" t="str">
        <f t="shared" si="391"/>
        <v/>
      </c>
      <c r="GW19" s="113" t="str">
        <f t="shared" si="392"/>
        <v/>
      </c>
      <c r="GX19" s="113" t="str">
        <f t="shared" si="393"/>
        <v/>
      </c>
      <c r="GY19" s="113" t="str">
        <f t="shared" si="394"/>
        <v/>
      </c>
      <c r="GZ19" s="113" t="str">
        <f t="shared" si="395"/>
        <v/>
      </c>
      <c r="HA19" s="113" t="str">
        <f t="shared" si="396"/>
        <v/>
      </c>
      <c r="HB19" s="113" t="str">
        <f t="shared" si="397"/>
        <v/>
      </c>
      <c r="HC19" s="113" t="str">
        <f t="shared" si="398"/>
        <v/>
      </c>
      <c r="HD19" s="113" t="str">
        <f t="shared" si="399"/>
        <v/>
      </c>
      <c r="HE19" s="113" t="str">
        <f t="shared" si="400"/>
        <v/>
      </c>
      <c r="HF19" s="113" t="str">
        <f t="shared" si="401"/>
        <v/>
      </c>
      <c r="HG19" s="113" t="str">
        <f t="shared" si="402"/>
        <v/>
      </c>
      <c r="HH19" s="113" t="str">
        <f t="shared" si="403"/>
        <v/>
      </c>
      <c r="HI19" s="113" t="str">
        <f t="shared" si="404"/>
        <v/>
      </c>
      <c r="HJ19" s="113" t="str">
        <f t="shared" si="405"/>
        <v/>
      </c>
      <c r="HK19" s="113" t="str">
        <f t="shared" si="406"/>
        <v/>
      </c>
    </row>
    <row r="20" spans="1:219" ht="13.2" customHeight="1">
      <c r="A20" s="146" t="str">
        <f t="shared" si="204"/>
        <v/>
      </c>
      <c r="B20" s="836" t="s">
        <v>133</v>
      </c>
      <c r="C20" s="837">
        <v>2</v>
      </c>
      <c r="D20" s="838">
        <v>1</v>
      </c>
      <c r="E20" s="839">
        <v>2</v>
      </c>
      <c r="F20" s="839">
        <v>855</v>
      </c>
      <c r="G20" s="839">
        <v>588</v>
      </c>
      <c r="H20" s="839">
        <v>537</v>
      </c>
      <c r="I20" s="839">
        <v>134</v>
      </c>
      <c r="J20" s="840" t="s">
        <v>4030</v>
      </c>
      <c r="K20" s="227">
        <f t="shared" si="205"/>
        <v>403</v>
      </c>
      <c r="L20" s="227">
        <f t="shared" si="206"/>
        <v>806</v>
      </c>
      <c r="M20" s="841" t="s">
        <v>3919</v>
      </c>
      <c r="N20" s="841" t="s">
        <v>3985</v>
      </c>
      <c r="O20" s="841" t="s">
        <v>3986</v>
      </c>
      <c r="P20" s="581">
        <f t="shared" si="1"/>
        <v>21480</v>
      </c>
      <c r="Q20" s="582">
        <f>IF(H20="","",P20/($P$6*VLOOKUP(C20,'DCA Underwriting Assumptions'!$J$77:$K$82,2,FALSE)))</f>
        <v>0.46705805609915196</v>
      </c>
      <c r="R20" s="739"/>
      <c r="S20" s="659"/>
      <c r="T20" s="113" t="str">
        <f t="shared" si="207"/>
        <v/>
      </c>
      <c r="U20" s="113" t="str">
        <f t="shared" si="208"/>
        <v/>
      </c>
      <c r="V20" s="113" t="str">
        <f t="shared" si="209"/>
        <v/>
      </c>
      <c r="W20" s="113" t="str">
        <f t="shared" si="210"/>
        <v/>
      </c>
      <c r="X20" s="113" t="str">
        <f t="shared" si="211"/>
        <v/>
      </c>
      <c r="Y20" s="113" t="str">
        <f t="shared" si="212"/>
        <v/>
      </c>
      <c r="Z20" s="113" t="str">
        <f t="shared" si="213"/>
        <v/>
      </c>
      <c r="AA20" s="113">
        <f t="shared" si="214"/>
        <v>2</v>
      </c>
      <c r="AB20" s="113" t="str">
        <f t="shared" si="215"/>
        <v/>
      </c>
      <c r="AC20" s="113" t="str">
        <f t="shared" si="216"/>
        <v/>
      </c>
      <c r="AD20" s="113" t="str">
        <f t="shared" si="217"/>
        <v/>
      </c>
      <c r="AE20" s="113" t="str">
        <f t="shared" si="218"/>
        <v/>
      </c>
      <c r="AF20" s="113" t="str">
        <f t="shared" si="219"/>
        <v/>
      </c>
      <c r="AG20" s="113" t="str">
        <f t="shared" si="220"/>
        <v/>
      </c>
      <c r="AH20" s="113" t="str">
        <f t="shared" si="221"/>
        <v/>
      </c>
      <c r="AI20" s="113" t="str">
        <f t="shared" si="222"/>
        <v/>
      </c>
      <c r="AJ20" s="113" t="str">
        <f t="shared" si="223"/>
        <v/>
      </c>
      <c r="AK20" s="113" t="str">
        <f t="shared" si="224"/>
        <v/>
      </c>
      <c r="AL20" s="113" t="str">
        <f t="shared" si="225"/>
        <v/>
      </c>
      <c r="AM20" s="113" t="str">
        <f t="shared" si="226"/>
        <v/>
      </c>
      <c r="AN20" s="113" t="str">
        <f t="shared" si="227"/>
        <v/>
      </c>
      <c r="AO20" s="113" t="str">
        <f t="shared" si="228"/>
        <v/>
      </c>
      <c r="AP20" s="113" t="str">
        <f t="shared" si="229"/>
        <v/>
      </c>
      <c r="AQ20" s="113" t="str">
        <f t="shared" si="230"/>
        <v/>
      </c>
      <c r="AR20" s="113" t="str">
        <f t="shared" si="231"/>
        <v/>
      </c>
      <c r="AS20" s="113" t="str">
        <f t="shared" si="232"/>
        <v/>
      </c>
      <c r="AT20" s="113" t="str">
        <f t="shared" si="233"/>
        <v/>
      </c>
      <c r="AU20" s="113">
        <f t="shared" si="234"/>
        <v>2</v>
      </c>
      <c r="AV20" s="113" t="str">
        <f t="shared" si="235"/>
        <v/>
      </c>
      <c r="AW20" s="113" t="str">
        <f t="shared" si="236"/>
        <v/>
      </c>
      <c r="AX20" s="113" t="str">
        <f t="shared" si="237"/>
        <v/>
      </c>
      <c r="AY20" s="113" t="str">
        <f t="shared" si="238"/>
        <v/>
      </c>
      <c r="AZ20" s="113" t="str">
        <f t="shared" si="239"/>
        <v/>
      </c>
      <c r="BA20" s="113" t="str">
        <f t="shared" si="240"/>
        <v/>
      </c>
      <c r="BB20" s="113" t="str">
        <f t="shared" si="241"/>
        <v/>
      </c>
      <c r="BC20" s="113" t="str">
        <f t="shared" si="242"/>
        <v/>
      </c>
      <c r="BD20" s="113" t="str">
        <f t="shared" si="243"/>
        <v/>
      </c>
      <c r="BE20" s="113" t="str">
        <f t="shared" si="244"/>
        <v/>
      </c>
      <c r="BF20" s="113" t="str">
        <f t="shared" si="245"/>
        <v/>
      </c>
      <c r="BG20" s="113" t="str">
        <f t="shared" si="246"/>
        <v/>
      </c>
      <c r="BH20" s="113" t="str">
        <f t="shared" si="247"/>
        <v/>
      </c>
      <c r="BI20" s="113" t="str">
        <f t="shared" si="248"/>
        <v/>
      </c>
      <c r="BJ20" s="113" t="str">
        <f t="shared" si="249"/>
        <v/>
      </c>
      <c r="BK20" s="113" t="str">
        <f t="shared" si="250"/>
        <v/>
      </c>
      <c r="BL20" s="113" t="str">
        <f t="shared" si="251"/>
        <v/>
      </c>
      <c r="BM20" s="113" t="str">
        <f t="shared" si="252"/>
        <v/>
      </c>
      <c r="BN20" s="113" t="str">
        <f t="shared" si="253"/>
        <v/>
      </c>
      <c r="BO20" s="113" t="str">
        <f t="shared" si="254"/>
        <v/>
      </c>
      <c r="BP20" s="113" t="str">
        <f t="shared" si="255"/>
        <v/>
      </c>
      <c r="BQ20" s="113" t="str">
        <f t="shared" si="256"/>
        <v/>
      </c>
      <c r="BR20" s="113" t="str">
        <f t="shared" si="257"/>
        <v/>
      </c>
      <c r="BS20" s="113" t="str">
        <f t="shared" si="258"/>
        <v/>
      </c>
      <c r="BT20" s="113" t="str">
        <f t="shared" si="259"/>
        <v/>
      </c>
      <c r="BU20" s="113" t="str">
        <f t="shared" si="260"/>
        <v/>
      </c>
      <c r="BV20" s="113" t="str">
        <f t="shared" si="261"/>
        <v/>
      </c>
      <c r="BW20" s="113" t="str">
        <f t="shared" si="262"/>
        <v/>
      </c>
      <c r="BX20" s="113" t="str">
        <f t="shared" si="263"/>
        <v/>
      </c>
      <c r="BY20" s="113" t="str">
        <f t="shared" si="264"/>
        <v/>
      </c>
      <c r="BZ20" s="113" t="str">
        <f t="shared" si="265"/>
        <v/>
      </c>
      <c r="CA20" s="113" t="str">
        <f t="shared" si="266"/>
        <v/>
      </c>
      <c r="CB20" s="113" t="str">
        <f t="shared" si="267"/>
        <v/>
      </c>
      <c r="CC20" s="113" t="str">
        <f t="shared" si="268"/>
        <v/>
      </c>
      <c r="CD20" s="113">
        <f t="shared" si="269"/>
        <v>1710</v>
      </c>
      <c r="CE20" s="113" t="str">
        <f t="shared" si="270"/>
        <v/>
      </c>
      <c r="CF20" s="113" t="str">
        <f t="shared" si="271"/>
        <v/>
      </c>
      <c r="CG20" s="113" t="str">
        <f t="shared" si="272"/>
        <v/>
      </c>
      <c r="CH20" s="113" t="str">
        <f t="shared" si="273"/>
        <v/>
      </c>
      <c r="CI20" s="113" t="str">
        <f t="shared" si="274"/>
        <v/>
      </c>
      <c r="CJ20" s="113" t="str">
        <f t="shared" si="275"/>
        <v/>
      </c>
      <c r="CK20" s="113" t="str">
        <f t="shared" si="276"/>
        <v/>
      </c>
      <c r="CL20" s="113" t="str">
        <f t="shared" si="277"/>
        <v/>
      </c>
      <c r="CM20" s="113" t="str">
        <f t="shared" si="278"/>
        <v/>
      </c>
      <c r="CN20" s="113" t="str">
        <f t="shared" si="279"/>
        <v/>
      </c>
      <c r="CO20" s="113" t="str">
        <f t="shared" si="280"/>
        <v/>
      </c>
      <c r="CP20" s="113" t="str">
        <f t="shared" si="281"/>
        <v/>
      </c>
      <c r="CQ20" s="113" t="str">
        <f t="shared" si="282"/>
        <v/>
      </c>
      <c r="CR20" s="113" t="str">
        <f t="shared" si="283"/>
        <v/>
      </c>
      <c r="CS20" s="113">
        <f t="shared" si="284"/>
        <v>1710</v>
      </c>
      <c r="CT20" s="113" t="str">
        <f t="shared" si="285"/>
        <v/>
      </c>
      <c r="CU20" s="113" t="str">
        <f t="shared" si="286"/>
        <v/>
      </c>
      <c r="CV20" s="113" t="str">
        <f t="shared" si="287"/>
        <v/>
      </c>
      <c r="CW20" s="113" t="str">
        <f t="shared" si="288"/>
        <v/>
      </c>
      <c r="CX20" s="113" t="str">
        <f t="shared" si="289"/>
        <v/>
      </c>
      <c r="CY20" s="113" t="str">
        <f t="shared" si="290"/>
        <v/>
      </c>
      <c r="CZ20" s="113" t="str">
        <f t="shared" si="291"/>
        <v/>
      </c>
      <c r="DA20" s="113" t="str">
        <f t="shared" si="292"/>
        <v/>
      </c>
      <c r="DB20" s="113" t="str">
        <f t="shared" si="293"/>
        <v/>
      </c>
      <c r="DC20" s="113" t="str">
        <f t="shared" si="294"/>
        <v/>
      </c>
      <c r="DD20" s="113" t="str">
        <f t="shared" si="295"/>
        <v/>
      </c>
      <c r="DE20" s="113" t="str">
        <f t="shared" si="296"/>
        <v/>
      </c>
      <c r="DF20" s="113" t="str">
        <f t="shared" si="297"/>
        <v/>
      </c>
      <c r="DG20" s="113" t="str">
        <f t="shared" si="298"/>
        <v/>
      </c>
      <c r="DH20" s="113" t="str">
        <f t="shared" si="299"/>
        <v/>
      </c>
      <c r="DI20" s="113" t="str">
        <f t="shared" si="300"/>
        <v/>
      </c>
      <c r="DJ20" s="113" t="str">
        <f t="shared" si="301"/>
        <v/>
      </c>
      <c r="DK20" s="113" t="str">
        <f t="shared" si="302"/>
        <v/>
      </c>
      <c r="DL20" s="113" t="str">
        <f t="shared" si="303"/>
        <v/>
      </c>
      <c r="DM20" s="113" t="str">
        <f t="shared" si="304"/>
        <v/>
      </c>
      <c r="DN20" s="113" t="str">
        <f t="shared" si="305"/>
        <v/>
      </c>
      <c r="DO20" s="113" t="str">
        <f t="shared" si="306"/>
        <v/>
      </c>
      <c r="DP20" s="113" t="str">
        <f t="shared" si="307"/>
        <v/>
      </c>
      <c r="DQ20" s="113" t="str">
        <f t="shared" si="308"/>
        <v/>
      </c>
      <c r="DR20" s="113">
        <f t="shared" si="309"/>
        <v>2</v>
      </c>
      <c r="DS20" s="113" t="str">
        <f t="shared" si="310"/>
        <v/>
      </c>
      <c r="DT20" s="113" t="str">
        <f t="shared" si="311"/>
        <v/>
      </c>
      <c r="DU20" s="113" t="str">
        <f t="shared" si="312"/>
        <v/>
      </c>
      <c r="DV20" s="113" t="str">
        <f t="shared" si="313"/>
        <v/>
      </c>
      <c r="DW20" s="113" t="str">
        <f t="shared" si="314"/>
        <v/>
      </c>
      <c r="DX20" s="113" t="str">
        <f t="shared" si="315"/>
        <v/>
      </c>
      <c r="DY20" s="113" t="str">
        <f t="shared" si="316"/>
        <v/>
      </c>
      <c r="DZ20" s="113" t="str">
        <f t="shared" si="317"/>
        <v/>
      </c>
      <c r="EA20" s="113" t="str">
        <f t="shared" si="318"/>
        <v/>
      </c>
      <c r="EB20" s="113" t="str">
        <f t="shared" si="319"/>
        <v/>
      </c>
      <c r="EC20" s="113" t="str">
        <f t="shared" si="320"/>
        <v/>
      </c>
      <c r="ED20" s="113" t="str">
        <f t="shared" si="321"/>
        <v/>
      </c>
      <c r="EE20" s="113" t="str">
        <f t="shared" si="322"/>
        <v/>
      </c>
      <c r="EF20" s="113" t="str">
        <f t="shared" si="323"/>
        <v/>
      </c>
      <c r="EG20" s="113" t="str">
        <f t="shared" si="324"/>
        <v/>
      </c>
      <c r="EH20" s="113" t="str">
        <f t="shared" si="325"/>
        <v/>
      </c>
      <c r="EI20" s="113" t="str">
        <f t="shared" si="326"/>
        <v/>
      </c>
      <c r="EJ20" s="113" t="str">
        <f t="shared" si="327"/>
        <v/>
      </c>
      <c r="EK20" s="113" t="str">
        <f t="shared" si="328"/>
        <v/>
      </c>
      <c r="EL20" s="113" t="str">
        <f t="shared" si="329"/>
        <v/>
      </c>
      <c r="EM20" s="113" t="str">
        <f t="shared" si="330"/>
        <v/>
      </c>
      <c r="EN20" s="113" t="str">
        <f t="shared" si="331"/>
        <v/>
      </c>
      <c r="EO20" s="113" t="str">
        <f t="shared" si="332"/>
        <v/>
      </c>
      <c r="EP20" s="113" t="str">
        <f t="shared" si="333"/>
        <v/>
      </c>
      <c r="EQ20" s="113" t="str">
        <f t="shared" si="334"/>
        <v/>
      </c>
      <c r="ER20" s="113" t="str">
        <f t="shared" si="335"/>
        <v/>
      </c>
      <c r="ES20" s="113" t="str">
        <f t="shared" si="336"/>
        <v/>
      </c>
      <c r="ET20" s="660" t="str">
        <f t="shared" si="337"/>
        <v/>
      </c>
      <c r="EU20" s="660" t="str">
        <f t="shared" si="338"/>
        <v/>
      </c>
      <c r="EV20" s="660">
        <f t="shared" si="339"/>
        <v>2</v>
      </c>
      <c r="EW20" s="660" t="str">
        <f t="shared" si="340"/>
        <v/>
      </c>
      <c r="EX20" s="660" t="str">
        <f t="shared" si="341"/>
        <v/>
      </c>
      <c r="EY20" s="660" t="str">
        <f t="shared" si="342"/>
        <v/>
      </c>
      <c r="EZ20" s="660" t="str">
        <f t="shared" si="343"/>
        <v/>
      </c>
      <c r="FA20" s="660" t="str">
        <f t="shared" si="344"/>
        <v/>
      </c>
      <c r="FB20" s="660" t="str">
        <f t="shared" si="345"/>
        <v/>
      </c>
      <c r="FC20" s="660" t="str">
        <f t="shared" si="346"/>
        <v/>
      </c>
      <c r="FD20" s="660" t="str">
        <f t="shared" si="347"/>
        <v/>
      </c>
      <c r="FE20" s="660" t="str">
        <f t="shared" si="348"/>
        <v/>
      </c>
      <c r="FF20" s="660" t="str">
        <f t="shared" si="349"/>
        <v/>
      </c>
      <c r="FG20" s="660" t="str">
        <f t="shared" si="350"/>
        <v/>
      </c>
      <c r="FH20" s="660" t="str">
        <f t="shared" si="351"/>
        <v/>
      </c>
      <c r="FI20" s="660" t="str">
        <f t="shared" si="352"/>
        <v/>
      </c>
      <c r="FJ20" s="660" t="str">
        <f t="shared" si="353"/>
        <v/>
      </c>
      <c r="FK20" s="660" t="str">
        <f t="shared" si="354"/>
        <v/>
      </c>
      <c r="FL20" s="660" t="str">
        <f t="shared" si="355"/>
        <v/>
      </c>
      <c r="FM20" s="660" t="str">
        <f t="shared" si="356"/>
        <v/>
      </c>
      <c r="FN20" s="660" t="str">
        <f t="shared" si="357"/>
        <v/>
      </c>
      <c r="FO20" s="660" t="str">
        <f t="shared" si="358"/>
        <v/>
      </c>
      <c r="FP20" s="660" t="str">
        <f t="shared" si="359"/>
        <v/>
      </c>
      <c r="FQ20" s="660" t="str">
        <f t="shared" si="360"/>
        <v/>
      </c>
      <c r="FR20" s="660" t="str">
        <f t="shared" si="361"/>
        <v/>
      </c>
      <c r="FS20" s="660" t="str">
        <f t="shared" si="362"/>
        <v/>
      </c>
      <c r="FT20" s="660" t="str">
        <f t="shared" si="363"/>
        <v/>
      </c>
      <c r="FU20" s="660" t="str">
        <f t="shared" si="364"/>
        <v/>
      </c>
      <c r="FV20" s="660" t="str">
        <f t="shared" si="365"/>
        <v/>
      </c>
      <c r="FW20" s="660" t="str">
        <f t="shared" si="366"/>
        <v/>
      </c>
      <c r="FX20" s="660" t="str">
        <f t="shared" si="367"/>
        <v/>
      </c>
      <c r="FY20" s="660" t="str">
        <f t="shared" si="368"/>
        <v/>
      </c>
      <c r="FZ20" s="660">
        <f t="shared" si="369"/>
        <v>2</v>
      </c>
      <c r="GA20" s="660" t="str">
        <f t="shared" si="370"/>
        <v/>
      </c>
      <c r="GB20" s="660" t="str">
        <f t="shared" si="371"/>
        <v/>
      </c>
      <c r="GC20" s="660" t="str">
        <f t="shared" si="372"/>
        <v/>
      </c>
      <c r="GD20" s="660" t="str">
        <f t="shared" si="373"/>
        <v/>
      </c>
      <c r="GE20" s="660" t="str">
        <f t="shared" si="374"/>
        <v/>
      </c>
      <c r="GF20" s="660" t="str">
        <f t="shared" si="375"/>
        <v/>
      </c>
      <c r="GG20" s="660" t="str">
        <f t="shared" si="376"/>
        <v/>
      </c>
      <c r="GH20" s="660" t="str">
        <f t="shared" si="377"/>
        <v/>
      </c>
      <c r="GI20" s="660" t="str">
        <f t="shared" si="378"/>
        <v/>
      </c>
      <c r="GJ20" s="660" t="str">
        <f t="shared" si="379"/>
        <v/>
      </c>
      <c r="GK20" s="660" t="str">
        <f t="shared" si="380"/>
        <v/>
      </c>
      <c r="GL20" s="660" t="str">
        <f t="shared" si="381"/>
        <v/>
      </c>
      <c r="GM20" s="661" t="str">
        <f t="shared" si="382"/>
        <v/>
      </c>
      <c r="GN20" s="661" t="str">
        <f t="shared" si="383"/>
        <v/>
      </c>
      <c r="GO20" s="661" t="str">
        <f t="shared" si="384"/>
        <v/>
      </c>
      <c r="GP20" s="661" t="str">
        <f t="shared" si="385"/>
        <v/>
      </c>
      <c r="GQ20" s="661" t="str">
        <f t="shared" si="386"/>
        <v/>
      </c>
      <c r="GR20" s="113" t="str">
        <f t="shared" si="387"/>
        <v/>
      </c>
      <c r="GS20" s="113" t="str">
        <f t="shared" si="388"/>
        <v/>
      </c>
      <c r="GT20" s="113" t="str">
        <f t="shared" si="389"/>
        <v/>
      </c>
      <c r="GU20" s="113" t="str">
        <f t="shared" si="390"/>
        <v/>
      </c>
      <c r="GV20" s="113" t="str">
        <f t="shared" si="391"/>
        <v/>
      </c>
      <c r="GW20" s="113" t="str">
        <f t="shared" si="392"/>
        <v/>
      </c>
      <c r="GX20" s="113" t="str">
        <f t="shared" si="393"/>
        <v/>
      </c>
      <c r="GY20" s="113" t="str">
        <f t="shared" si="394"/>
        <v/>
      </c>
      <c r="GZ20" s="113" t="str">
        <f t="shared" si="395"/>
        <v/>
      </c>
      <c r="HA20" s="113" t="str">
        <f t="shared" si="396"/>
        <v/>
      </c>
      <c r="HB20" s="113" t="str">
        <f t="shared" si="397"/>
        <v/>
      </c>
      <c r="HC20" s="113" t="str">
        <f t="shared" si="398"/>
        <v/>
      </c>
      <c r="HD20" s="113" t="str">
        <f t="shared" si="399"/>
        <v/>
      </c>
      <c r="HE20" s="113" t="str">
        <f t="shared" si="400"/>
        <v/>
      </c>
      <c r="HF20" s="113" t="str">
        <f t="shared" si="401"/>
        <v/>
      </c>
      <c r="HG20" s="113" t="str">
        <f t="shared" si="402"/>
        <v/>
      </c>
      <c r="HH20" s="113" t="str">
        <f t="shared" si="403"/>
        <v/>
      </c>
      <c r="HI20" s="113" t="str">
        <f t="shared" si="404"/>
        <v/>
      </c>
      <c r="HJ20" s="113" t="str">
        <f t="shared" si="405"/>
        <v/>
      </c>
      <c r="HK20" s="113" t="str">
        <f t="shared" si="406"/>
        <v/>
      </c>
    </row>
    <row r="21" spans="1:219" ht="13.2" customHeight="1">
      <c r="A21" s="146" t="str">
        <f t="shared" si="172"/>
        <v/>
      </c>
      <c r="B21" s="836" t="s">
        <v>133</v>
      </c>
      <c r="C21" s="837">
        <v>2</v>
      </c>
      <c r="D21" s="838">
        <v>1</v>
      </c>
      <c r="E21" s="839">
        <v>2</v>
      </c>
      <c r="F21" s="839">
        <v>883</v>
      </c>
      <c r="G21" s="839">
        <v>588</v>
      </c>
      <c r="H21" s="839">
        <v>537</v>
      </c>
      <c r="I21" s="839">
        <v>134</v>
      </c>
      <c r="J21" s="840" t="s">
        <v>4030</v>
      </c>
      <c r="K21" s="227">
        <f t="shared" si="173"/>
        <v>403</v>
      </c>
      <c r="L21" s="227">
        <f t="shared" si="0"/>
        <v>806</v>
      </c>
      <c r="M21" s="841" t="s">
        <v>3919</v>
      </c>
      <c r="N21" s="841" t="s">
        <v>3985</v>
      </c>
      <c r="O21" s="841" t="s">
        <v>3986</v>
      </c>
      <c r="P21" s="581">
        <f t="shared" ref="P21:P47" si="407">IF(H21="","",H21*12/0.3)</f>
        <v>21480</v>
      </c>
      <c r="Q21" s="582">
        <f>IF(H21="","",P21/($P$6*VLOOKUP(C21,'DCA Underwriting Assumptions'!$J$77:$K$82,2,FALSE)))</f>
        <v>0.46705805609915196</v>
      </c>
      <c r="R21" s="739"/>
      <c r="S21" s="659"/>
      <c r="T21" s="113" t="str">
        <f t="shared" si="2"/>
        <v/>
      </c>
      <c r="U21" s="113" t="str">
        <f t="shared" si="3"/>
        <v/>
      </c>
      <c r="V21" s="113" t="str">
        <f t="shared" si="4"/>
        <v/>
      </c>
      <c r="W21" s="113" t="str">
        <f t="shared" si="5"/>
        <v/>
      </c>
      <c r="X21" s="113" t="str">
        <f t="shared" si="6"/>
        <v/>
      </c>
      <c r="Y21" s="113" t="str">
        <f t="shared" si="7"/>
        <v/>
      </c>
      <c r="Z21" s="113" t="str">
        <f t="shared" si="8"/>
        <v/>
      </c>
      <c r="AA21" s="113">
        <f t="shared" si="9"/>
        <v>2</v>
      </c>
      <c r="AB21" s="113" t="str">
        <f t="shared" si="10"/>
        <v/>
      </c>
      <c r="AC21" s="113" t="str">
        <f t="shared" si="11"/>
        <v/>
      </c>
      <c r="AD21" s="113" t="str">
        <f t="shared" si="12"/>
        <v/>
      </c>
      <c r="AE21" s="113" t="str">
        <f t="shared" si="13"/>
        <v/>
      </c>
      <c r="AF21" s="113" t="str">
        <f t="shared" si="14"/>
        <v/>
      </c>
      <c r="AG21" s="113" t="str">
        <f t="shared" si="15"/>
        <v/>
      </c>
      <c r="AH21" s="113" t="str">
        <f t="shared" si="16"/>
        <v/>
      </c>
      <c r="AI21" s="113" t="str">
        <f t="shared" si="17"/>
        <v/>
      </c>
      <c r="AJ21" s="113" t="str">
        <f t="shared" si="18"/>
        <v/>
      </c>
      <c r="AK21" s="113" t="str">
        <f t="shared" si="19"/>
        <v/>
      </c>
      <c r="AL21" s="113" t="str">
        <f t="shared" si="20"/>
        <v/>
      </c>
      <c r="AM21" s="113" t="str">
        <f t="shared" si="21"/>
        <v/>
      </c>
      <c r="AN21" s="113" t="str">
        <f t="shared" si="174"/>
        <v/>
      </c>
      <c r="AO21" s="113" t="str">
        <f t="shared" si="175"/>
        <v/>
      </c>
      <c r="AP21" s="113" t="str">
        <f t="shared" si="176"/>
        <v/>
      </c>
      <c r="AQ21" s="113" t="str">
        <f t="shared" si="177"/>
        <v/>
      </c>
      <c r="AR21" s="113" t="str">
        <f t="shared" si="178"/>
        <v/>
      </c>
      <c r="AS21" s="113" t="str">
        <f t="shared" si="179"/>
        <v/>
      </c>
      <c r="AT21" s="113" t="str">
        <f t="shared" si="180"/>
        <v/>
      </c>
      <c r="AU21" s="113">
        <f t="shared" si="181"/>
        <v>2</v>
      </c>
      <c r="AV21" s="113" t="str">
        <f t="shared" si="182"/>
        <v/>
      </c>
      <c r="AW21" s="113" t="str">
        <f t="shared" si="183"/>
        <v/>
      </c>
      <c r="AX21" s="113" t="str">
        <f t="shared" si="184"/>
        <v/>
      </c>
      <c r="AY21" s="113" t="str">
        <f t="shared" si="185"/>
        <v/>
      </c>
      <c r="AZ21" s="113" t="str">
        <f t="shared" si="186"/>
        <v/>
      </c>
      <c r="BA21" s="113" t="str">
        <f t="shared" si="187"/>
        <v/>
      </c>
      <c r="BB21" s="113" t="str">
        <f t="shared" si="188"/>
        <v/>
      </c>
      <c r="BC21" s="113" t="str">
        <f t="shared" si="189"/>
        <v/>
      </c>
      <c r="BD21" s="113" t="str">
        <f t="shared" si="190"/>
        <v/>
      </c>
      <c r="BE21" s="113" t="str">
        <f t="shared" si="191"/>
        <v/>
      </c>
      <c r="BF21" s="113" t="str">
        <f t="shared" si="192"/>
        <v/>
      </c>
      <c r="BG21" s="113" t="str">
        <f t="shared" si="193"/>
        <v/>
      </c>
      <c r="BH21" s="113" t="str">
        <f t="shared" si="194"/>
        <v/>
      </c>
      <c r="BI21" s="113" t="str">
        <f t="shared" si="195"/>
        <v/>
      </c>
      <c r="BJ21" s="113" t="str">
        <f t="shared" si="196"/>
        <v/>
      </c>
      <c r="BK21" s="113" t="str">
        <f t="shared" si="197"/>
        <v/>
      </c>
      <c r="BL21" s="113" t="str">
        <f t="shared" si="198"/>
        <v/>
      </c>
      <c r="BM21" s="113" t="str">
        <f t="shared" si="199"/>
        <v/>
      </c>
      <c r="BN21" s="113" t="str">
        <f t="shared" si="200"/>
        <v/>
      </c>
      <c r="BO21" s="113" t="str">
        <f t="shared" si="201"/>
        <v/>
      </c>
      <c r="BP21" s="113" t="str">
        <f t="shared" si="202"/>
        <v/>
      </c>
      <c r="BQ21" s="113" t="str">
        <f t="shared" si="203"/>
        <v/>
      </c>
      <c r="BR21" s="113" t="str">
        <f t="shared" si="22"/>
        <v/>
      </c>
      <c r="BS21" s="113" t="str">
        <f t="shared" si="23"/>
        <v/>
      </c>
      <c r="BT21" s="113" t="str">
        <f t="shared" si="24"/>
        <v/>
      </c>
      <c r="BU21" s="113" t="str">
        <f t="shared" si="25"/>
        <v/>
      </c>
      <c r="BV21" s="113" t="str">
        <f t="shared" si="26"/>
        <v/>
      </c>
      <c r="BW21" s="113" t="str">
        <f t="shared" si="27"/>
        <v/>
      </c>
      <c r="BX21" s="113" t="str">
        <f t="shared" si="28"/>
        <v/>
      </c>
      <c r="BY21" s="113" t="str">
        <f t="shared" si="29"/>
        <v/>
      </c>
      <c r="BZ21" s="113" t="str">
        <f t="shared" si="30"/>
        <v/>
      </c>
      <c r="CA21" s="113" t="str">
        <f t="shared" si="31"/>
        <v/>
      </c>
      <c r="CB21" s="113" t="str">
        <f t="shared" si="32"/>
        <v/>
      </c>
      <c r="CC21" s="113" t="str">
        <f t="shared" si="33"/>
        <v/>
      </c>
      <c r="CD21" s="113">
        <f t="shared" si="34"/>
        <v>1766</v>
      </c>
      <c r="CE21" s="113" t="str">
        <f t="shared" si="35"/>
        <v/>
      </c>
      <c r="CF21" s="113" t="str">
        <f t="shared" si="36"/>
        <v/>
      </c>
      <c r="CG21" s="113" t="str">
        <f t="shared" si="37"/>
        <v/>
      </c>
      <c r="CH21" s="113" t="str">
        <f t="shared" si="38"/>
        <v/>
      </c>
      <c r="CI21" s="113" t="str">
        <f t="shared" si="39"/>
        <v/>
      </c>
      <c r="CJ21" s="113" t="str">
        <f t="shared" si="40"/>
        <v/>
      </c>
      <c r="CK21" s="113" t="str">
        <f t="shared" si="41"/>
        <v/>
      </c>
      <c r="CL21" s="113" t="str">
        <f t="shared" si="42"/>
        <v/>
      </c>
      <c r="CM21" s="113" t="str">
        <f t="shared" si="43"/>
        <v/>
      </c>
      <c r="CN21" s="113" t="str">
        <f t="shared" si="44"/>
        <v/>
      </c>
      <c r="CO21" s="113" t="str">
        <f t="shared" si="45"/>
        <v/>
      </c>
      <c r="CP21" s="113" t="str">
        <f t="shared" si="46"/>
        <v/>
      </c>
      <c r="CQ21" s="113" t="str">
        <f t="shared" si="47"/>
        <v/>
      </c>
      <c r="CR21" s="113" t="str">
        <f t="shared" si="48"/>
        <v/>
      </c>
      <c r="CS21" s="113">
        <f t="shared" si="49"/>
        <v>1766</v>
      </c>
      <c r="CT21" s="113" t="str">
        <f t="shared" si="50"/>
        <v/>
      </c>
      <c r="CU21" s="113" t="str">
        <f t="shared" si="51"/>
        <v/>
      </c>
      <c r="CV21" s="113" t="str">
        <f t="shared" si="52"/>
        <v/>
      </c>
      <c r="CW21" s="113" t="str">
        <f t="shared" si="53"/>
        <v/>
      </c>
      <c r="CX21" s="113" t="str">
        <f t="shared" si="54"/>
        <v/>
      </c>
      <c r="CY21" s="113" t="str">
        <f t="shared" si="55"/>
        <v/>
      </c>
      <c r="CZ21" s="113" t="str">
        <f t="shared" si="56"/>
        <v/>
      </c>
      <c r="DA21" s="113" t="str">
        <f t="shared" si="57"/>
        <v/>
      </c>
      <c r="DB21" s="113" t="str">
        <f t="shared" si="58"/>
        <v/>
      </c>
      <c r="DC21" s="113" t="str">
        <f t="shared" si="59"/>
        <v/>
      </c>
      <c r="DD21" s="113" t="str">
        <f t="shared" si="60"/>
        <v/>
      </c>
      <c r="DE21" s="113" t="str">
        <f t="shared" si="61"/>
        <v/>
      </c>
      <c r="DF21" s="113" t="str">
        <f t="shared" si="62"/>
        <v/>
      </c>
      <c r="DG21" s="113" t="str">
        <f t="shared" si="63"/>
        <v/>
      </c>
      <c r="DH21" s="113" t="str">
        <f t="shared" si="64"/>
        <v/>
      </c>
      <c r="DI21" s="113" t="str">
        <f t="shared" si="65"/>
        <v/>
      </c>
      <c r="DJ21" s="113" t="str">
        <f t="shared" si="66"/>
        <v/>
      </c>
      <c r="DK21" s="113" t="str">
        <f t="shared" si="67"/>
        <v/>
      </c>
      <c r="DL21" s="113" t="str">
        <f t="shared" si="68"/>
        <v/>
      </c>
      <c r="DM21" s="113" t="str">
        <f t="shared" si="69"/>
        <v/>
      </c>
      <c r="DN21" s="113" t="str">
        <f t="shared" si="70"/>
        <v/>
      </c>
      <c r="DO21" s="113" t="str">
        <f t="shared" si="71"/>
        <v/>
      </c>
      <c r="DP21" s="113" t="str">
        <f t="shared" si="72"/>
        <v/>
      </c>
      <c r="DQ21" s="113" t="str">
        <f t="shared" si="73"/>
        <v/>
      </c>
      <c r="DR21" s="113">
        <f t="shared" si="74"/>
        <v>2</v>
      </c>
      <c r="DS21" s="113" t="str">
        <f t="shared" si="75"/>
        <v/>
      </c>
      <c r="DT21" s="113" t="str">
        <f t="shared" si="76"/>
        <v/>
      </c>
      <c r="DU21" s="113" t="str">
        <f t="shared" si="77"/>
        <v/>
      </c>
      <c r="DV21" s="113" t="str">
        <f t="shared" si="78"/>
        <v/>
      </c>
      <c r="DW21" s="113" t="str">
        <f t="shared" si="79"/>
        <v/>
      </c>
      <c r="DX21" s="113" t="str">
        <f t="shared" si="80"/>
        <v/>
      </c>
      <c r="DY21" s="113" t="str">
        <f t="shared" si="81"/>
        <v/>
      </c>
      <c r="DZ21" s="113" t="str">
        <f t="shared" si="82"/>
        <v/>
      </c>
      <c r="EA21" s="113" t="str">
        <f t="shared" si="83"/>
        <v/>
      </c>
      <c r="EB21" s="113" t="str">
        <f t="shared" si="84"/>
        <v/>
      </c>
      <c r="EC21" s="113" t="str">
        <f t="shared" si="85"/>
        <v/>
      </c>
      <c r="ED21" s="113" t="str">
        <f t="shared" si="86"/>
        <v/>
      </c>
      <c r="EE21" s="113" t="str">
        <f t="shared" si="87"/>
        <v/>
      </c>
      <c r="EF21" s="113" t="str">
        <f t="shared" si="88"/>
        <v/>
      </c>
      <c r="EG21" s="113" t="str">
        <f t="shared" si="89"/>
        <v/>
      </c>
      <c r="EH21" s="113" t="str">
        <f t="shared" si="90"/>
        <v/>
      </c>
      <c r="EI21" s="113" t="str">
        <f t="shared" si="91"/>
        <v/>
      </c>
      <c r="EJ21" s="113" t="str">
        <f t="shared" si="92"/>
        <v/>
      </c>
      <c r="EK21" s="113" t="str">
        <f t="shared" si="93"/>
        <v/>
      </c>
      <c r="EL21" s="113" t="str">
        <f t="shared" si="94"/>
        <v/>
      </c>
      <c r="EM21" s="113" t="str">
        <f t="shared" si="95"/>
        <v/>
      </c>
      <c r="EN21" s="113" t="str">
        <f t="shared" si="96"/>
        <v/>
      </c>
      <c r="EO21" s="113" t="str">
        <f t="shared" si="97"/>
        <v/>
      </c>
      <c r="EP21" s="113" t="str">
        <f t="shared" si="98"/>
        <v/>
      </c>
      <c r="EQ21" s="113" t="str">
        <f t="shared" si="99"/>
        <v/>
      </c>
      <c r="ER21" s="113" t="str">
        <f t="shared" si="100"/>
        <v/>
      </c>
      <c r="ES21" s="113" t="str">
        <f t="shared" si="101"/>
        <v/>
      </c>
      <c r="ET21" s="660" t="str">
        <f t="shared" si="102"/>
        <v/>
      </c>
      <c r="EU21" s="660" t="str">
        <f t="shared" si="103"/>
        <v/>
      </c>
      <c r="EV21" s="660">
        <f t="shared" si="104"/>
        <v>2</v>
      </c>
      <c r="EW21" s="660" t="str">
        <f t="shared" si="105"/>
        <v/>
      </c>
      <c r="EX21" s="660" t="str">
        <f t="shared" si="106"/>
        <v/>
      </c>
      <c r="EY21" s="660" t="str">
        <f t="shared" si="107"/>
        <v/>
      </c>
      <c r="EZ21" s="660" t="str">
        <f t="shared" si="108"/>
        <v/>
      </c>
      <c r="FA21" s="660" t="str">
        <f t="shared" si="109"/>
        <v/>
      </c>
      <c r="FB21" s="660" t="str">
        <f t="shared" si="110"/>
        <v/>
      </c>
      <c r="FC21" s="660" t="str">
        <f t="shared" si="111"/>
        <v/>
      </c>
      <c r="FD21" s="660" t="str">
        <f t="shared" si="112"/>
        <v/>
      </c>
      <c r="FE21" s="660" t="str">
        <f t="shared" si="113"/>
        <v/>
      </c>
      <c r="FF21" s="660" t="str">
        <f t="shared" si="114"/>
        <v/>
      </c>
      <c r="FG21" s="660" t="str">
        <f t="shared" si="115"/>
        <v/>
      </c>
      <c r="FH21" s="660" t="str">
        <f t="shared" si="116"/>
        <v/>
      </c>
      <c r="FI21" s="660" t="str">
        <f t="shared" si="117"/>
        <v/>
      </c>
      <c r="FJ21" s="660" t="str">
        <f t="shared" si="118"/>
        <v/>
      </c>
      <c r="FK21" s="660" t="str">
        <f t="shared" si="119"/>
        <v/>
      </c>
      <c r="FL21" s="660" t="str">
        <f t="shared" si="120"/>
        <v/>
      </c>
      <c r="FM21" s="660" t="str">
        <f t="shared" si="121"/>
        <v/>
      </c>
      <c r="FN21" s="660" t="str">
        <f t="shared" si="122"/>
        <v/>
      </c>
      <c r="FO21" s="660" t="str">
        <f t="shared" si="123"/>
        <v/>
      </c>
      <c r="FP21" s="660" t="str">
        <f t="shared" si="124"/>
        <v/>
      </c>
      <c r="FQ21" s="660" t="str">
        <f t="shared" si="125"/>
        <v/>
      </c>
      <c r="FR21" s="660" t="str">
        <f t="shared" si="126"/>
        <v/>
      </c>
      <c r="FS21" s="660" t="str">
        <f t="shared" si="127"/>
        <v/>
      </c>
      <c r="FT21" s="660" t="str">
        <f t="shared" si="128"/>
        <v/>
      </c>
      <c r="FU21" s="660" t="str">
        <f t="shared" si="129"/>
        <v/>
      </c>
      <c r="FV21" s="660" t="str">
        <f t="shared" si="130"/>
        <v/>
      </c>
      <c r="FW21" s="660" t="str">
        <f t="shared" si="131"/>
        <v/>
      </c>
      <c r="FX21" s="660" t="str">
        <f t="shared" si="132"/>
        <v/>
      </c>
      <c r="FY21" s="660" t="str">
        <f t="shared" si="133"/>
        <v/>
      </c>
      <c r="FZ21" s="660">
        <f t="shared" si="134"/>
        <v>2</v>
      </c>
      <c r="GA21" s="660" t="str">
        <f t="shared" si="135"/>
        <v/>
      </c>
      <c r="GB21" s="660" t="str">
        <f t="shared" si="136"/>
        <v/>
      </c>
      <c r="GC21" s="660" t="str">
        <f t="shared" si="137"/>
        <v/>
      </c>
      <c r="GD21" s="660" t="str">
        <f t="shared" si="138"/>
        <v/>
      </c>
      <c r="GE21" s="660" t="str">
        <f t="shared" si="139"/>
        <v/>
      </c>
      <c r="GF21" s="660" t="str">
        <f t="shared" si="140"/>
        <v/>
      </c>
      <c r="GG21" s="660" t="str">
        <f t="shared" si="141"/>
        <v/>
      </c>
      <c r="GH21" s="660" t="str">
        <f t="shared" si="142"/>
        <v/>
      </c>
      <c r="GI21" s="660" t="str">
        <f t="shared" si="143"/>
        <v/>
      </c>
      <c r="GJ21" s="660" t="str">
        <f t="shared" si="144"/>
        <v/>
      </c>
      <c r="GK21" s="660" t="str">
        <f t="shared" si="145"/>
        <v/>
      </c>
      <c r="GL21" s="660" t="str">
        <f t="shared" si="146"/>
        <v/>
      </c>
      <c r="GM21" s="661" t="str">
        <f t="shared" si="147"/>
        <v/>
      </c>
      <c r="GN21" s="661" t="str">
        <f t="shared" si="148"/>
        <v/>
      </c>
      <c r="GO21" s="661" t="str">
        <f t="shared" si="149"/>
        <v/>
      </c>
      <c r="GP21" s="661" t="str">
        <f t="shared" si="150"/>
        <v/>
      </c>
      <c r="GQ21" s="661" t="str">
        <f t="shared" si="151"/>
        <v/>
      </c>
      <c r="GR21" s="113" t="str">
        <f t="shared" si="152"/>
        <v/>
      </c>
      <c r="GS21" s="113" t="str">
        <f t="shared" si="153"/>
        <v/>
      </c>
      <c r="GT21" s="113" t="str">
        <f t="shared" si="154"/>
        <v/>
      </c>
      <c r="GU21" s="113" t="str">
        <f t="shared" si="155"/>
        <v/>
      </c>
      <c r="GV21" s="113" t="str">
        <f t="shared" si="156"/>
        <v/>
      </c>
      <c r="GW21" s="113" t="str">
        <f t="shared" si="157"/>
        <v/>
      </c>
      <c r="GX21" s="113" t="str">
        <f t="shared" si="158"/>
        <v/>
      </c>
      <c r="GY21" s="113" t="str">
        <f t="shared" si="159"/>
        <v/>
      </c>
      <c r="GZ21" s="113" t="str">
        <f t="shared" si="160"/>
        <v/>
      </c>
      <c r="HA21" s="113" t="str">
        <f t="shared" si="161"/>
        <v/>
      </c>
      <c r="HB21" s="113" t="str">
        <f t="shared" si="162"/>
        <v/>
      </c>
      <c r="HC21" s="113" t="str">
        <f t="shared" si="163"/>
        <v/>
      </c>
      <c r="HD21" s="113" t="str">
        <f t="shared" si="164"/>
        <v/>
      </c>
      <c r="HE21" s="113" t="str">
        <f t="shared" si="165"/>
        <v/>
      </c>
      <c r="HF21" s="113" t="str">
        <f t="shared" si="166"/>
        <v/>
      </c>
      <c r="HG21" s="113" t="str">
        <f t="shared" si="167"/>
        <v/>
      </c>
      <c r="HH21" s="113" t="str">
        <f t="shared" si="168"/>
        <v/>
      </c>
      <c r="HI21" s="113" t="str">
        <f t="shared" si="169"/>
        <v/>
      </c>
      <c r="HJ21" s="113" t="str">
        <f t="shared" si="170"/>
        <v/>
      </c>
      <c r="HK21" s="113" t="str">
        <f t="shared" si="171"/>
        <v/>
      </c>
    </row>
    <row r="22" spans="1:219" ht="13.2" customHeight="1">
      <c r="A22" s="146" t="str">
        <f t="shared" si="172"/>
        <v/>
      </c>
      <c r="B22" s="836" t="s">
        <v>3987</v>
      </c>
      <c r="C22" s="837">
        <v>2</v>
      </c>
      <c r="D22" s="838">
        <v>1</v>
      </c>
      <c r="E22" s="839">
        <v>1</v>
      </c>
      <c r="F22" s="839">
        <v>899</v>
      </c>
      <c r="G22" s="839">
        <v>0</v>
      </c>
      <c r="H22" s="839">
        <v>0</v>
      </c>
      <c r="I22" s="839">
        <v>0</v>
      </c>
      <c r="J22" s="840"/>
      <c r="K22" s="227">
        <f t="shared" si="173"/>
        <v>0</v>
      </c>
      <c r="L22" s="227">
        <f t="shared" si="0"/>
        <v>0</v>
      </c>
      <c r="M22" s="841" t="s">
        <v>3988</v>
      </c>
      <c r="N22" s="841" t="s">
        <v>4027</v>
      </c>
      <c r="O22" s="841" t="s">
        <v>3986</v>
      </c>
      <c r="P22" s="581">
        <f t="shared" si="407"/>
        <v>0</v>
      </c>
      <c r="Q22" s="582">
        <f>IF(H22="","",P22/($P$6*VLOOKUP(C22,'DCA Underwriting Assumptions'!$J$77:$K$82,2,FALSE)))</f>
        <v>0</v>
      </c>
      <c r="R22" s="739"/>
      <c r="S22" s="659"/>
      <c r="T22" s="113" t="str">
        <f t="shared" si="2"/>
        <v/>
      </c>
      <c r="U22" s="113" t="str">
        <f t="shared" si="3"/>
        <v/>
      </c>
      <c r="V22" s="113" t="str">
        <f t="shared" si="4"/>
        <v/>
      </c>
      <c r="W22" s="113" t="str">
        <f t="shared" si="5"/>
        <v/>
      </c>
      <c r="X22" s="113" t="str">
        <f t="shared" si="6"/>
        <v/>
      </c>
      <c r="Y22" s="113" t="str">
        <f t="shared" si="7"/>
        <v/>
      </c>
      <c r="Z22" s="113" t="str">
        <f t="shared" si="8"/>
        <v/>
      </c>
      <c r="AA22" s="113" t="str">
        <f t="shared" si="9"/>
        <v/>
      </c>
      <c r="AB22" s="113" t="str">
        <f t="shared" si="10"/>
        <v/>
      </c>
      <c r="AC22" s="113" t="str">
        <f t="shared" si="11"/>
        <v/>
      </c>
      <c r="AD22" s="113" t="str">
        <f t="shared" si="12"/>
        <v/>
      </c>
      <c r="AE22" s="113" t="str">
        <f t="shared" si="13"/>
        <v/>
      </c>
      <c r="AF22" s="113" t="str">
        <f t="shared" si="14"/>
        <v/>
      </c>
      <c r="AG22" s="113" t="str">
        <f t="shared" si="15"/>
        <v/>
      </c>
      <c r="AH22" s="113" t="str">
        <f t="shared" si="16"/>
        <v/>
      </c>
      <c r="AI22" s="113" t="str">
        <f t="shared" si="17"/>
        <v/>
      </c>
      <c r="AJ22" s="113" t="str">
        <f t="shared" si="18"/>
        <v/>
      </c>
      <c r="AK22" s="113" t="str">
        <f t="shared" si="19"/>
        <v/>
      </c>
      <c r="AL22" s="113" t="str">
        <f t="shared" si="20"/>
        <v/>
      </c>
      <c r="AM22" s="113" t="str">
        <f t="shared" si="21"/>
        <v/>
      </c>
      <c r="AN22" s="113" t="str">
        <f t="shared" si="174"/>
        <v/>
      </c>
      <c r="AO22" s="113" t="str">
        <f t="shared" si="175"/>
        <v/>
      </c>
      <c r="AP22" s="113" t="str">
        <f t="shared" si="176"/>
        <v/>
      </c>
      <c r="AQ22" s="113" t="str">
        <f t="shared" si="177"/>
        <v/>
      </c>
      <c r="AR22" s="113" t="str">
        <f t="shared" si="178"/>
        <v/>
      </c>
      <c r="AS22" s="113" t="str">
        <f t="shared" si="179"/>
        <v/>
      </c>
      <c r="AT22" s="113" t="str">
        <f t="shared" si="180"/>
        <v/>
      </c>
      <c r="AU22" s="113" t="str">
        <f t="shared" si="181"/>
        <v/>
      </c>
      <c r="AV22" s="113" t="str">
        <f t="shared" si="182"/>
        <v/>
      </c>
      <c r="AW22" s="113" t="str">
        <f t="shared" si="183"/>
        <v/>
      </c>
      <c r="AX22" s="113" t="str">
        <f t="shared" si="184"/>
        <v/>
      </c>
      <c r="AY22" s="113" t="str">
        <f t="shared" si="185"/>
        <v/>
      </c>
      <c r="AZ22" s="113" t="str">
        <f t="shared" si="186"/>
        <v/>
      </c>
      <c r="BA22" s="113" t="str">
        <f t="shared" si="187"/>
        <v/>
      </c>
      <c r="BB22" s="113" t="str">
        <f t="shared" si="188"/>
        <v/>
      </c>
      <c r="BC22" s="113" t="str">
        <f t="shared" si="189"/>
        <v/>
      </c>
      <c r="BD22" s="113" t="str">
        <f t="shared" si="190"/>
        <v/>
      </c>
      <c r="BE22" s="113" t="str">
        <f t="shared" si="191"/>
        <v/>
      </c>
      <c r="BF22" s="113" t="str">
        <f t="shared" si="192"/>
        <v/>
      </c>
      <c r="BG22" s="113" t="str">
        <f t="shared" si="193"/>
        <v/>
      </c>
      <c r="BH22" s="113" t="str">
        <f t="shared" si="194"/>
        <v/>
      </c>
      <c r="BI22" s="113" t="str">
        <f t="shared" si="195"/>
        <v/>
      </c>
      <c r="BJ22" s="113" t="str">
        <f t="shared" si="196"/>
        <v/>
      </c>
      <c r="BK22" s="113" t="str">
        <f t="shared" si="197"/>
        <v/>
      </c>
      <c r="BL22" s="113" t="str">
        <f t="shared" si="198"/>
        <v/>
      </c>
      <c r="BM22" s="113" t="str">
        <f t="shared" si="199"/>
        <v/>
      </c>
      <c r="BN22" s="113" t="str">
        <f t="shared" si="200"/>
        <v/>
      </c>
      <c r="BO22" s="113" t="str">
        <f t="shared" si="201"/>
        <v/>
      </c>
      <c r="BP22" s="113" t="str">
        <f t="shared" si="202"/>
        <v/>
      </c>
      <c r="BQ22" s="113" t="str">
        <f t="shared" si="203"/>
        <v/>
      </c>
      <c r="BR22" s="113" t="str">
        <f t="shared" si="22"/>
        <v/>
      </c>
      <c r="BS22" s="113" t="str">
        <f t="shared" si="23"/>
        <v/>
      </c>
      <c r="BT22" s="113">
        <f t="shared" si="24"/>
        <v>1</v>
      </c>
      <c r="BU22" s="113" t="str">
        <f t="shared" si="25"/>
        <v/>
      </c>
      <c r="BV22" s="113" t="str">
        <f t="shared" si="26"/>
        <v/>
      </c>
      <c r="BW22" s="113" t="str">
        <f t="shared" si="27"/>
        <v/>
      </c>
      <c r="BX22" s="113" t="str">
        <f t="shared" si="28"/>
        <v/>
      </c>
      <c r="BY22" s="113" t="str">
        <f t="shared" si="29"/>
        <v/>
      </c>
      <c r="BZ22" s="113" t="str">
        <f t="shared" si="30"/>
        <v/>
      </c>
      <c r="CA22" s="113" t="str">
        <f t="shared" si="31"/>
        <v/>
      </c>
      <c r="CB22" s="113" t="str">
        <f t="shared" si="32"/>
        <v/>
      </c>
      <c r="CC22" s="113" t="str">
        <f t="shared" si="33"/>
        <v/>
      </c>
      <c r="CD22" s="113" t="str">
        <f t="shared" si="34"/>
        <v/>
      </c>
      <c r="CE22" s="113" t="str">
        <f t="shared" si="35"/>
        <v/>
      </c>
      <c r="CF22" s="113" t="str">
        <f t="shared" si="36"/>
        <v/>
      </c>
      <c r="CG22" s="113" t="str">
        <f t="shared" si="37"/>
        <v/>
      </c>
      <c r="CH22" s="113" t="str">
        <f t="shared" si="38"/>
        <v/>
      </c>
      <c r="CI22" s="113" t="str">
        <f t="shared" si="39"/>
        <v/>
      </c>
      <c r="CJ22" s="113" t="str">
        <f t="shared" si="40"/>
        <v/>
      </c>
      <c r="CK22" s="113" t="str">
        <f t="shared" si="41"/>
        <v/>
      </c>
      <c r="CL22" s="113" t="str">
        <f t="shared" si="42"/>
        <v/>
      </c>
      <c r="CM22" s="113" t="str">
        <f t="shared" si="43"/>
        <v/>
      </c>
      <c r="CN22" s="113" t="str">
        <f t="shared" si="44"/>
        <v/>
      </c>
      <c r="CO22" s="113" t="str">
        <f t="shared" si="45"/>
        <v/>
      </c>
      <c r="CP22" s="113" t="str">
        <f t="shared" si="46"/>
        <v/>
      </c>
      <c r="CQ22" s="113" t="str">
        <f t="shared" si="47"/>
        <v/>
      </c>
      <c r="CR22" s="113" t="str">
        <f t="shared" si="48"/>
        <v/>
      </c>
      <c r="CS22" s="113" t="str">
        <f t="shared" si="49"/>
        <v/>
      </c>
      <c r="CT22" s="113" t="str">
        <f t="shared" si="50"/>
        <v/>
      </c>
      <c r="CU22" s="113" t="str">
        <f t="shared" si="51"/>
        <v/>
      </c>
      <c r="CV22" s="113" t="str">
        <f t="shared" si="52"/>
        <v/>
      </c>
      <c r="CW22" s="113" t="str">
        <f t="shared" si="53"/>
        <v/>
      </c>
      <c r="CX22" s="113">
        <f t="shared" si="54"/>
        <v>899</v>
      </c>
      <c r="CY22" s="113" t="str">
        <f t="shared" si="55"/>
        <v/>
      </c>
      <c r="CZ22" s="113" t="str">
        <f t="shared" si="56"/>
        <v/>
      </c>
      <c r="DA22" s="113" t="str">
        <f t="shared" si="57"/>
        <v/>
      </c>
      <c r="DB22" s="113" t="str">
        <f t="shared" si="58"/>
        <v/>
      </c>
      <c r="DC22" s="113" t="str">
        <f t="shared" si="59"/>
        <v/>
      </c>
      <c r="DD22" s="113" t="str">
        <f t="shared" si="60"/>
        <v/>
      </c>
      <c r="DE22" s="113" t="str">
        <f t="shared" si="61"/>
        <v/>
      </c>
      <c r="DF22" s="113" t="str">
        <f t="shared" si="62"/>
        <v/>
      </c>
      <c r="DG22" s="113" t="str">
        <f t="shared" si="63"/>
        <v/>
      </c>
      <c r="DH22" s="113" t="str">
        <f t="shared" si="64"/>
        <v/>
      </c>
      <c r="DI22" s="113" t="str">
        <f t="shared" si="65"/>
        <v/>
      </c>
      <c r="DJ22" s="113" t="str">
        <f t="shared" si="66"/>
        <v/>
      </c>
      <c r="DK22" s="113" t="str">
        <f t="shared" si="67"/>
        <v/>
      </c>
      <c r="DL22" s="113" t="str">
        <f t="shared" si="68"/>
        <v/>
      </c>
      <c r="DM22" s="113" t="str">
        <f t="shared" si="69"/>
        <v/>
      </c>
      <c r="DN22" s="113" t="str">
        <f t="shared" si="70"/>
        <v/>
      </c>
      <c r="DO22" s="113" t="str">
        <f t="shared" si="71"/>
        <v/>
      </c>
      <c r="DP22" s="113" t="str">
        <f t="shared" si="72"/>
        <v/>
      </c>
      <c r="DQ22" s="113" t="str">
        <f t="shared" si="73"/>
        <v/>
      </c>
      <c r="DR22" s="113" t="str">
        <f t="shared" si="74"/>
        <v/>
      </c>
      <c r="DS22" s="113" t="str">
        <f t="shared" si="75"/>
        <v/>
      </c>
      <c r="DT22" s="113" t="str">
        <f t="shared" si="76"/>
        <v/>
      </c>
      <c r="DU22" s="113" t="str">
        <f t="shared" si="77"/>
        <v/>
      </c>
      <c r="DV22" s="113" t="str">
        <f t="shared" si="78"/>
        <v/>
      </c>
      <c r="DW22" s="113" t="str">
        <f t="shared" si="79"/>
        <v/>
      </c>
      <c r="DX22" s="113" t="str">
        <f t="shared" si="80"/>
        <v/>
      </c>
      <c r="DY22" s="113" t="str">
        <f t="shared" si="81"/>
        <v/>
      </c>
      <c r="DZ22" s="113" t="str">
        <f t="shared" si="82"/>
        <v/>
      </c>
      <c r="EA22" s="113" t="str">
        <f t="shared" si="83"/>
        <v/>
      </c>
      <c r="EB22" s="113">
        <f t="shared" si="84"/>
        <v>1</v>
      </c>
      <c r="EC22" s="113" t="str">
        <f t="shared" si="85"/>
        <v/>
      </c>
      <c r="ED22" s="113" t="str">
        <f t="shared" si="86"/>
        <v/>
      </c>
      <c r="EE22" s="113" t="str">
        <f t="shared" si="87"/>
        <v/>
      </c>
      <c r="EF22" s="113" t="str">
        <f t="shared" si="88"/>
        <v/>
      </c>
      <c r="EG22" s="113" t="str">
        <f t="shared" si="89"/>
        <v/>
      </c>
      <c r="EH22" s="113" t="str">
        <f t="shared" si="90"/>
        <v/>
      </c>
      <c r="EI22" s="113" t="str">
        <f t="shared" si="91"/>
        <v/>
      </c>
      <c r="EJ22" s="113" t="str">
        <f t="shared" si="92"/>
        <v/>
      </c>
      <c r="EK22" s="113" t="str">
        <f t="shared" si="93"/>
        <v/>
      </c>
      <c r="EL22" s="113" t="str">
        <f t="shared" si="94"/>
        <v/>
      </c>
      <c r="EM22" s="113" t="str">
        <f t="shared" si="95"/>
        <v/>
      </c>
      <c r="EN22" s="113" t="str">
        <f t="shared" si="96"/>
        <v/>
      </c>
      <c r="EO22" s="113" t="str">
        <f t="shared" si="97"/>
        <v/>
      </c>
      <c r="EP22" s="113" t="str">
        <f t="shared" si="98"/>
        <v/>
      </c>
      <c r="EQ22" s="113" t="str">
        <f t="shared" si="99"/>
        <v/>
      </c>
      <c r="ER22" s="113" t="str">
        <f t="shared" si="100"/>
        <v/>
      </c>
      <c r="ES22" s="113" t="str">
        <f t="shared" si="101"/>
        <v/>
      </c>
      <c r="ET22" s="660" t="str">
        <f t="shared" si="102"/>
        <v/>
      </c>
      <c r="EU22" s="660" t="str">
        <f t="shared" si="103"/>
        <v/>
      </c>
      <c r="EV22" s="660">
        <f t="shared" si="104"/>
        <v>1</v>
      </c>
      <c r="EW22" s="660" t="str">
        <f t="shared" si="105"/>
        <v/>
      </c>
      <c r="EX22" s="660" t="str">
        <f t="shared" si="106"/>
        <v/>
      </c>
      <c r="EY22" s="660" t="str">
        <f t="shared" si="107"/>
        <v/>
      </c>
      <c r="EZ22" s="660" t="str">
        <f t="shared" si="108"/>
        <v/>
      </c>
      <c r="FA22" s="660" t="str">
        <f t="shared" si="109"/>
        <v/>
      </c>
      <c r="FB22" s="660" t="str">
        <f t="shared" si="110"/>
        <v/>
      </c>
      <c r="FC22" s="660" t="str">
        <f t="shared" si="111"/>
        <v/>
      </c>
      <c r="FD22" s="660" t="str">
        <f t="shared" si="112"/>
        <v/>
      </c>
      <c r="FE22" s="660" t="str">
        <f t="shared" si="113"/>
        <v/>
      </c>
      <c r="FF22" s="660" t="str">
        <f t="shared" si="114"/>
        <v/>
      </c>
      <c r="FG22" s="660" t="str">
        <f t="shared" si="115"/>
        <v/>
      </c>
      <c r="FH22" s="660" t="str">
        <f t="shared" si="116"/>
        <v/>
      </c>
      <c r="FI22" s="660" t="str">
        <f t="shared" si="117"/>
        <v/>
      </c>
      <c r="FJ22" s="660" t="str">
        <f t="shared" si="118"/>
        <v/>
      </c>
      <c r="FK22" s="660" t="str">
        <f t="shared" si="119"/>
        <v/>
      </c>
      <c r="FL22" s="660" t="str">
        <f t="shared" si="120"/>
        <v/>
      </c>
      <c r="FM22" s="660" t="str">
        <f t="shared" si="121"/>
        <v/>
      </c>
      <c r="FN22" s="660" t="str">
        <f t="shared" si="122"/>
        <v/>
      </c>
      <c r="FO22" s="660" t="str">
        <f t="shared" si="123"/>
        <v/>
      </c>
      <c r="FP22" s="660" t="str">
        <f t="shared" si="124"/>
        <v/>
      </c>
      <c r="FQ22" s="660" t="str">
        <f t="shared" si="125"/>
        <v/>
      </c>
      <c r="FR22" s="660" t="str">
        <f t="shared" si="126"/>
        <v/>
      </c>
      <c r="FS22" s="660" t="str">
        <f t="shared" si="127"/>
        <v/>
      </c>
      <c r="FT22" s="660" t="str">
        <f t="shared" si="128"/>
        <v/>
      </c>
      <c r="FU22" s="660">
        <f t="shared" si="129"/>
        <v>1</v>
      </c>
      <c r="FV22" s="660" t="str">
        <f t="shared" si="130"/>
        <v/>
      </c>
      <c r="FW22" s="660" t="str">
        <f t="shared" si="131"/>
        <v/>
      </c>
      <c r="FX22" s="660" t="str">
        <f t="shared" si="132"/>
        <v/>
      </c>
      <c r="FY22" s="660" t="str">
        <f t="shared" si="133"/>
        <v/>
      </c>
      <c r="FZ22" s="660" t="str">
        <f t="shared" si="134"/>
        <v/>
      </c>
      <c r="GA22" s="660" t="str">
        <f t="shared" si="135"/>
        <v/>
      </c>
      <c r="GB22" s="660" t="str">
        <f t="shared" si="136"/>
        <v/>
      </c>
      <c r="GC22" s="660" t="str">
        <f t="shared" si="137"/>
        <v/>
      </c>
      <c r="GD22" s="660" t="str">
        <f t="shared" si="138"/>
        <v/>
      </c>
      <c r="GE22" s="660" t="str">
        <f t="shared" si="139"/>
        <v/>
      </c>
      <c r="GF22" s="660" t="str">
        <f t="shared" si="140"/>
        <v/>
      </c>
      <c r="GG22" s="660" t="str">
        <f t="shared" si="141"/>
        <v/>
      </c>
      <c r="GH22" s="660" t="str">
        <f t="shared" si="142"/>
        <v/>
      </c>
      <c r="GI22" s="660" t="str">
        <f t="shared" si="143"/>
        <v/>
      </c>
      <c r="GJ22" s="660" t="str">
        <f t="shared" si="144"/>
        <v/>
      </c>
      <c r="GK22" s="660" t="str">
        <f t="shared" si="145"/>
        <v/>
      </c>
      <c r="GL22" s="660" t="str">
        <f t="shared" si="146"/>
        <v/>
      </c>
      <c r="GM22" s="661" t="str">
        <f t="shared" si="147"/>
        <v/>
      </c>
      <c r="GN22" s="661" t="str">
        <f t="shared" si="148"/>
        <v/>
      </c>
      <c r="GO22" s="661" t="str">
        <f t="shared" si="149"/>
        <v/>
      </c>
      <c r="GP22" s="661" t="str">
        <f t="shared" si="150"/>
        <v/>
      </c>
      <c r="GQ22" s="661" t="str">
        <f t="shared" si="151"/>
        <v/>
      </c>
      <c r="GR22" s="113" t="str">
        <f t="shared" si="152"/>
        <v/>
      </c>
      <c r="GS22" s="113" t="str">
        <f t="shared" si="153"/>
        <v/>
      </c>
      <c r="GT22" s="113" t="str">
        <f t="shared" si="154"/>
        <v/>
      </c>
      <c r="GU22" s="113" t="str">
        <f t="shared" si="155"/>
        <v/>
      </c>
      <c r="GV22" s="113" t="str">
        <f t="shared" si="156"/>
        <v/>
      </c>
      <c r="GW22" s="113" t="str">
        <f t="shared" si="157"/>
        <v/>
      </c>
      <c r="GX22" s="113" t="str">
        <f t="shared" si="158"/>
        <v/>
      </c>
      <c r="GY22" s="113" t="str">
        <f t="shared" si="159"/>
        <v/>
      </c>
      <c r="GZ22" s="113" t="str">
        <f t="shared" si="160"/>
        <v/>
      </c>
      <c r="HA22" s="113" t="str">
        <f t="shared" si="161"/>
        <v/>
      </c>
      <c r="HB22" s="113" t="str">
        <f t="shared" si="162"/>
        <v/>
      </c>
      <c r="HC22" s="113" t="str">
        <f t="shared" si="163"/>
        <v/>
      </c>
      <c r="HD22" s="113" t="str">
        <f t="shared" si="164"/>
        <v/>
      </c>
      <c r="HE22" s="113" t="str">
        <f t="shared" si="165"/>
        <v/>
      </c>
      <c r="HF22" s="113" t="str">
        <f t="shared" si="166"/>
        <v/>
      </c>
      <c r="HG22" s="113" t="str">
        <f t="shared" si="167"/>
        <v/>
      </c>
      <c r="HH22" s="113" t="str">
        <f t="shared" si="168"/>
        <v/>
      </c>
      <c r="HI22" s="113" t="str">
        <f t="shared" si="169"/>
        <v/>
      </c>
      <c r="HJ22" s="113" t="str">
        <f t="shared" si="170"/>
        <v/>
      </c>
      <c r="HK22" s="113" t="str">
        <f t="shared" si="171"/>
        <v/>
      </c>
    </row>
    <row r="23" spans="1:219" ht="13.2" customHeight="1">
      <c r="A23" s="146" t="str">
        <f t="shared" si="172"/>
        <v/>
      </c>
      <c r="B23" s="836"/>
      <c r="C23" s="837"/>
      <c r="D23" s="838"/>
      <c r="E23" s="839"/>
      <c r="F23" s="839"/>
      <c r="G23" s="839"/>
      <c r="H23" s="839"/>
      <c r="I23" s="839"/>
      <c r="J23" s="840"/>
      <c r="K23" s="227">
        <f t="shared" si="173"/>
        <v>0</v>
      </c>
      <c r="L23" s="227">
        <f t="shared" si="0"/>
        <v>0</v>
      </c>
      <c r="M23" s="841"/>
      <c r="N23" s="841"/>
      <c r="O23" s="841"/>
      <c r="P23" s="581" t="str">
        <f t="shared" si="407"/>
        <v/>
      </c>
      <c r="Q23" s="582" t="str">
        <f>IF(H23="","",P23/($P$6*VLOOKUP(C23,'DCA Underwriting Assumptions'!$J$77:$K$82,2,FALSE)))</f>
        <v/>
      </c>
      <c r="R23" s="739"/>
      <c r="S23" s="659"/>
      <c r="T23" s="113" t="str">
        <f t="shared" si="2"/>
        <v/>
      </c>
      <c r="U23" s="113" t="str">
        <f t="shared" si="3"/>
        <v/>
      </c>
      <c r="V23" s="113" t="str">
        <f t="shared" si="4"/>
        <v/>
      </c>
      <c r="W23" s="113" t="str">
        <f t="shared" si="5"/>
        <v/>
      </c>
      <c r="X23" s="113" t="str">
        <f t="shared" si="6"/>
        <v/>
      </c>
      <c r="Y23" s="113" t="str">
        <f t="shared" si="7"/>
        <v/>
      </c>
      <c r="Z23" s="113" t="str">
        <f t="shared" si="8"/>
        <v/>
      </c>
      <c r="AA23" s="113" t="str">
        <f t="shared" si="9"/>
        <v/>
      </c>
      <c r="AB23" s="113" t="str">
        <f t="shared" si="10"/>
        <v/>
      </c>
      <c r="AC23" s="113" t="str">
        <f t="shared" si="11"/>
        <v/>
      </c>
      <c r="AD23" s="113" t="str">
        <f t="shared" si="12"/>
        <v/>
      </c>
      <c r="AE23" s="113" t="str">
        <f t="shared" si="13"/>
        <v/>
      </c>
      <c r="AF23" s="113" t="str">
        <f t="shared" si="14"/>
        <v/>
      </c>
      <c r="AG23" s="113" t="str">
        <f t="shared" si="15"/>
        <v/>
      </c>
      <c r="AH23" s="113" t="str">
        <f t="shared" si="16"/>
        <v/>
      </c>
      <c r="AI23" s="113" t="str">
        <f t="shared" si="17"/>
        <v/>
      </c>
      <c r="AJ23" s="113" t="str">
        <f t="shared" si="18"/>
        <v/>
      </c>
      <c r="AK23" s="113" t="str">
        <f t="shared" si="19"/>
        <v/>
      </c>
      <c r="AL23" s="113" t="str">
        <f t="shared" si="20"/>
        <v/>
      </c>
      <c r="AM23" s="113" t="str">
        <f t="shared" si="21"/>
        <v/>
      </c>
      <c r="AN23" s="113" t="str">
        <f t="shared" si="174"/>
        <v/>
      </c>
      <c r="AO23" s="113" t="str">
        <f t="shared" si="175"/>
        <v/>
      </c>
      <c r="AP23" s="113" t="str">
        <f t="shared" si="176"/>
        <v/>
      </c>
      <c r="AQ23" s="113" t="str">
        <f t="shared" si="177"/>
        <v/>
      </c>
      <c r="AR23" s="113" t="str">
        <f t="shared" si="178"/>
        <v/>
      </c>
      <c r="AS23" s="113" t="str">
        <f t="shared" si="179"/>
        <v/>
      </c>
      <c r="AT23" s="113" t="str">
        <f t="shared" si="180"/>
        <v/>
      </c>
      <c r="AU23" s="113" t="str">
        <f t="shared" si="181"/>
        <v/>
      </c>
      <c r="AV23" s="113" t="str">
        <f t="shared" si="182"/>
        <v/>
      </c>
      <c r="AW23" s="113" t="str">
        <f t="shared" si="183"/>
        <v/>
      </c>
      <c r="AX23" s="113" t="str">
        <f t="shared" si="184"/>
        <v/>
      </c>
      <c r="AY23" s="113" t="str">
        <f t="shared" si="185"/>
        <v/>
      </c>
      <c r="AZ23" s="113" t="str">
        <f t="shared" si="186"/>
        <v/>
      </c>
      <c r="BA23" s="113" t="str">
        <f t="shared" si="187"/>
        <v/>
      </c>
      <c r="BB23" s="113" t="str">
        <f t="shared" si="188"/>
        <v/>
      </c>
      <c r="BC23" s="113" t="str">
        <f t="shared" si="189"/>
        <v/>
      </c>
      <c r="BD23" s="113" t="str">
        <f t="shared" si="190"/>
        <v/>
      </c>
      <c r="BE23" s="113" t="str">
        <f t="shared" si="191"/>
        <v/>
      </c>
      <c r="BF23" s="113" t="str">
        <f t="shared" si="192"/>
        <v/>
      </c>
      <c r="BG23" s="113" t="str">
        <f t="shared" si="193"/>
        <v/>
      </c>
      <c r="BH23" s="113" t="str">
        <f t="shared" si="194"/>
        <v/>
      </c>
      <c r="BI23" s="113" t="str">
        <f t="shared" si="195"/>
        <v/>
      </c>
      <c r="BJ23" s="113" t="str">
        <f t="shared" si="196"/>
        <v/>
      </c>
      <c r="BK23" s="113" t="str">
        <f t="shared" si="197"/>
        <v/>
      </c>
      <c r="BL23" s="113" t="str">
        <f t="shared" si="198"/>
        <v/>
      </c>
      <c r="BM23" s="113" t="str">
        <f t="shared" si="199"/>
        <v/>
      </c>
      <c r="BN23" s="113" t="str">
        <f t="shared" si="200"/>
        <v/>
      </c>
      <c r="BO23" s="113" t="str">
        <f t="shared" si="201"/>
        <v/>
      </c>
      <c r="BP23" s="113" t="str">
        <f t="shared" si="202"/>
        <v/>
      </c>
      <c r="BQ23" s="113" t="str">
        <f t="shared" si="203"/>
        <v/>
      </c>
      <c r="BR23" s="113" t="str">
        <f t="shared" si="22"/>
        <v/>
      </c>
      <c r="BS23" s="113" t="str">
        <f t="shared" si="23"/>
        <v/>
      </c>
      <c r="BT23" s="113" t="str">
        <f t="shared" si="24"/>
        <v/>
      </c>
      <c r="BU23" s="113" t="str">
        <f t="shared" si="25"/>
        <v/>
      </c>
      <c r="BV23" s="113" t="str">
        <f t="shared" si="26"/>
        <v/>
      </c>
      <c r="BW23" s="113" t="str">
        <f t="shared" si="27"/>
        <v/>
      </c>
      <c r="BX23" s="113" t="str">
        <f t="shared" si="28"/>
        <v/>
      </c>
      <c r="BY23" s="113" t="str">
        <f t="shared" si="29"/>
        <v/>
      </c>
      <c r="BZ23" s="113" t="str">
        <f t="shared" si="30"/>
        <v/>
      </c>
      <c r="CA23" s="113" t="str">
        <f t="shared" si="31"/>
        <v/>
      </c>
      <c r="CB23" s="113" t="str">
        <f t="shared" si="32"/>
        <v/>
      </c>
      <c r="CC23" s="113" t="str">
        <f t="shared" si="33"/>
        <v/>
      </c>
      <c r="CD23" s="113" t="str">
        <f t="shared" si="34"/>
        <v/>
      </c>
      <c r="CE23" s="113" t="str">
        <f t="shared" si="35"/>
        <v/>
      </c>
      <c r="CF23" s="113" t="str">
        <f t="shared" si="36"/>
        <v/>
      </c>
      <c r="CG23" s="113" t="str">
        <f t="shared" si="37"/>
        <v/>
      </c>
      <c r="CH23" s="113" t="str">
        <f t="shared" si="38"/>
        <v/>
      </c>
      <c r="CI23" s="113" t="str">
        <f t="shared" si="39"/>
        <v/>
      </c>
      <c r="CJ23" s="113" t="str">
        <f t="shared" si="40"/>
        <v/>
      </c>
      <c r="CK23" s="113" t="str">
        <f t="shared" si="41"/>
        <v/>
      </c>
      <c r="CL23" s="113" t="str">
        <f t="shared" si="42"/>
        <v/>
      </c>
      <c r="CM23" s="113" t="str">
        <f t="shared" si="43"/>
        <v/>
      </c>
      <c r="CN23" s="113" t="str">
        <f t="shared" si="44"/>
        <v/>
      </c>
      <c r="CO23" s="113" t="str">
        <f t="shared" si="45"/>
        <v/>
      </c>
      <c r="CP23" s="113" t="str">
        <f t="shared" si="46"/>
        <v/>
      </c>
      <c r="CQ23" s="113" t="str">
        <f t="shared" si="47"/>
        <v/>
      </c>
      <c r="CR23" s="113" t="str">
        <f t="shared" si="48"/>
        <v/>
      </c>
      <c r="CS23" s="113" t="str">
        <f t="shared" si="49"/>
        <v/>
      </c>
      <c r="CT23" s="113" t="str">
        <f t="shared" si="50"/>
        <v/>
      </c>
      <c r="CU23" s="113" t="str">
        <f t="shared" si="51"/>
        <v/>
      </c>
      <c r="CV23" s="113" t="str">
        <f t="shared" si="52"/>
        <v/>
      </c>
      <c r="CW23" s="113" t="str">
        <f t="shared" si="53"/>
        <v/>
      </c>
      <c r="CX23" s="113" t="str">
        <f t="shared" si="54"/>
        <v/>
      </c>
      <c r="CY23" s="113" t="str">
        <f t="shared" si="55"/>
        <v/>
      </c>
      <c r="CZ23" s="113" t="str">
        <f t="shared" si="56"/>
        <v/>
      </c>
      <c r="DA23" s="113" t="str">
        <f t="shared" si="57"/>
        <v/>
      </c>
      <c r="DB23" s="113" t="str">
        <f t="shared" si="58"/>
        <v/>
      </c>
      <c r="DC23" s="113" t="str">
        <f t="shared" si="59"/>
        <v/>
      </c>
      <c r="DD23" s="113" t="str">
        <f t="shared" si="60"/>
        <v/>
      </c>
      <c r="DE23" s="113" t="str">
        <f t="shared" si="61"/>
        <v/>
      </c>
      <c r="DF23" s="113" t="str">
        <f t="shared" si="62"/>
        <v/>
      </c>
      <c r="DG23" s="113" t="str">
        <f t="shared" si="63"/>
        <v/>
      </c>
      <c r="DH23" s="113" t="str">
        <f t="shared" si="64"/>
        <v/>
      </c>
      <c r="DI23" s="113" t="str">
        <f t="shared" si="65"/>
        <v/>
      </c>
      <c r="DJ23" s="113" t="str">
        <f t="shared" si="66"/>
        <v/>
      </c>
      <c r="DK23" s="113" t="str">
        <f t="shared" si="67"/>
        <v/>
      </c>
      <c r="DL23" s="113" t="str">
        <f t="shared" si="68"/>
        <v/>
      </c>
      <c r="DM23" s="113" t="str">
        <f t="shared" si="69"/>
        <v/>
      </c>
      <c r="DN23" s="113" t="str">
        <f t="shared" si="70"/>
        <v/>
      </c>
      <c r="DO23" s="113" t="str">
        <f t="shared" si="71"/>
        <v/>
      </c>
      <c r="DP23" s="113" t="str">
        <f t="shared" si="72"/>
        <v/>
      </c>
      <c r="DQ23" s="113" t="str">
        <f t="shared" si="73"/>
        <v/>
      </c>
      <c r="DR23" s="113" t="str">
        <f t="shared" si="74"/>
        <v/>
      </c>
      <c r="DS23" s="113" t="str">
        <f t="shared" si="75"/>
        <v/>
      </c>
      <c r="DT23" s="113" t="str">
        <f t="shared" si="76"/>
        <v/>
      </c>
      <c r="DU23" s="113" t="str">
        <f t="shared" si="77"/>
        <v/>
      </c>
      <c r="DV23" s="113" t="str">
        <f t="shared" si="78"/>
        <v/>
      </c>
      <c r="DW23" s="113" t="str">
        <f t="shared" si="79"/>
        <v/>
      </c>
      <c r="DX23" s="113" t="str">
        <f t="shared" si="80"/>
        <v/>
      </c>
      <c r="DY23" s="113" t="str">
        <f t="shared" si="81"/>
        <v/>
      </c>
      <c r="DZ23" s="113" t="str">
        <f t="shared" si="82"/>
        <v/>
      </c>
      <c r="EA23" s="113" t="str">
        <f t="shared" si="83"/>
        <v/>
      </c>
      <c r="EB23" s="113" t="str">
        <f t="shared" si="84"/>
        <v/>
      </c>
      <c r="EC23" s="113" t="str">
        <f t="shared" si="85"/>
        <v/>
      </c>
      <c r="ED23" s="113" t="str">
        <f t="shared" si="86"/>
        <v/>
      </c>
      <c r="EE23" s="113" t="str">
        <f t="shared" si="87"/>
        <v/>
      </c>
      <c r="EF23" s="113" t="str">
        <f t="shared" si="88"/>
        <v/>
      </c>
      <c r="EG23" s="113" t="str">
        <f t="shared" si="89"/>
        <v/>
      </c>
      <c r="EH23" s="113" t="str">
        <f t="shared" si="90"/>
        <v/>
      </c>
      <c r="EI23" s="113" t="str">
        <f t="shared" si="91"/>
        <v/>
      </c>
      <c r="EJ23" s="113" t="str">
        <f t="shared" si="92"/>
        <v/>
      </c>
      <c r="EK23" s="113" t="str">
        <f t="shared" si="93"/>
        <v/>
      </c>
      <c r="EL23" s="113" t="str">
        <f t="shared" si="94"/>
        <v/>
      </c>
      <c r="EM23" s="113" t="str">
        <f t="shared" si="95"/>
        <v/>
      </c>
      <c r="EN23" s="113" t="str">
        <f t="shared" si="96"/>
        <v/>
      </c>
      <c r="EO23" s="113" t="str">
        <f t="shared" si="97"/>
        <v/>
      </c>
      <c r="EP23" s="113" t="str">
        <f t="shared" si="98"/>
        <v/>
      </c>
      <c r="EQ23" s="113" t="str">
        <f t="shared" si="99"/>
        <v/>
      </c>
      <c r="ER23" s="113" t="str">
        <f t="shared" si="100"/>
        <v/>
      </c>
      <c r="ES23" s="113" t="str">
        <f t="shared" si="101"/>
        <v/>
      </c>
      <c r="ET23" s="660" t="str">
        <f t="shared" si="102"/>
        <v/>
      </c>
      <c r="EU23" s="660" t="str">
        <f t="shared" si="103"/>
        <v/>
      </c>
      <c r="EV23" s="660" t="str">
        <f t="shared" si="104"/>
        <v/>
      </c>
      <c r="EW23" s="660" t="str">
        <f t="shared" si="105"/>
        <v/>
      </c>
      <c r="EX23" s="660" t="str">
        <f t="shared" si="106"/>
        <v/>
      </c>
      <c r="EY23" s="660" t="str">
        <f t="shared" si="107"/>
        <v/>
      </c>
      <c r="EZ23" s="660" t="str">
        <f t="shared" si="108"/>
        <v/>
      </c>
      <c r="FA23" s="660" t="str">
        <f t="shared" si="109"/>
        <v/>
      </c>
      <c r="FB23" s="660" t="str">
        <f t="shared" si="110"/>
        <v/>
      </c>
      <c r="FC23" s="660" t="str">
        <f t="shared" si="111"/>
        <v/>
      </c>
      <c r="FD23" s="660" t="str">
        <f t="shared" si="112"/>
        <v/>
      </c>
      <c r="FE23" s="660" t="str">
        <f t="shared" si="113"/>
        <v/>
      </c>
      <c r="FF23" s="660" t="str">
        <f t="shared" si="114"/>
        <v/>
      </c>
      <c r="FG23" s="660" t="str">
        <f t="shared" si="115"/>
        <v/>
      </c>
      <c r="FH23" s="660" t="str">
        <f t="shared" si="116"/>
        <v/>
      </c>
      <c r="FI23" s="660" t="str">
        <f t="shared" si="117"/>
        <v/>
      </c>
      <c r="FJ23" s="660" t="str">
        <f t="shared" si="118"/>
        <v/>
      </c>
      <c r="FK23" s="660" t="str">
        <f t="shared" si="119"/>
        <v/>
      </c>
      <c r="FL23" s="660" t="str">
        <f t="shared" si="120"/>
        <v/>
      </c>
      <c r="FM23" s="660" t="str">
        <f t="shared" si="121"/>
        <v/>
      </c>
      <c r="FN23" s="660" t="str">
        <f t="shared" si="122"/>
        <v/>
      </c>
      <c r="FO23" s="660" t="str">
        <f t="shared" si="123"/>
        <v/>
      </c>
      <c r="FP23" s="660" t="str">
        <f t="shared" si="124"/>
        <v/>
      </c>
      <c r="FQ23" s="660" t="str">
        <f t="shared" si="125"/>
        <v/>
      </c>
      <c r="FR23" s="660" t="str">
        <f t="shared" si="126"/>
        <v/>
      </c>
      <c r="FS23" s="660" t="str">
        <f t="shared" si="127"/>
        <v/>
      </c>
      <c r="FT23" s="660" t="str">
        <f t="shared" si="128"/>
        <v/>
      </c>
      <c r="FU23" s="660" t="str">
        <f t="shared" si="129"/>
        <v/>
      </c>
      <c r="FV23" s="660" t="str">
        <f t="shared" si="130"/>
        <v/>
      </c>
      <c r="FW23" s="660" t="str">
        <f t="shared" si="131"/>
        <v/>
      </c>
      <c r="FX23" s="660" t="str">
        <f t="shared" si="132"/>
        <v/>
      </c>
      <c r="FY23" s="660" t="str">
        <f t="shared" si="133"/>
        <v/>
      </c>
      <c r="FZ23" s="660" t="str">
        <f t="shared" si="134"/>
        <v/>
      </c>
      <c r="GA23" s="660" t="str">
        <f t="shared" si="135"/>
        <v/>
      </c>
      <c r="GB23" s="660" t="str">
        <f t="shared" si="136"/>
        <v/>
      </c>
      <c r="GC23" s="660" t="str">
        <f t="shared" si="137"/>
        <v/>
      </c>
      <c r="GD23" s="660" t="str">
        <f t="shared" si="138"/>
        <v/>
      </c>
      <c r="GE23" s="660" t="str">
        <f t="shared" si="139"/>
        <v/>
      </c>
      <c r="GF23" s="660" t="str">
        <f t="shared" si="140"/>
        <v/>
      </c>
      <c r="GG23" s="660" t="str">
        <f t="shared" si="141"/>
        <v/>
      </c>
      <c r="GH23" s="660" t="str">
        <f t="shared" si="142"/>
        <v/>
      </c>
      <c r="GI23" s="660" t="str">
        <f t="shared" si="143"/>
        <v/>
      </c>
      <c r="GJ23" s="660" t="str">
        <f t="shared" si="144"/>
        <v/>
      </c>
      <c r="GK23" s="660" t="str">
        <f t="shared" si="145"/>
        <v/>
      </c>
      <c r="GL23" s="660" t="str">
        <f t="shared" si="146"/>
        <v/>
      </c>
      <c r="GM23" s="661" t="str">
        <f t="shared" si="147"/>
        <v/>
      </c>
      <c r="GN23" s="661" t="str">
        <f t="shared" si="148"/>
        <v/>
      </c>
      <c r="GO23" s="661" t="str">
        <f t="shared" si="149"/>
        <v/>
      </c>
      <c r="GP23" s="661" t="str">
        <f t="shared" si="150"/>
        <v/>
      </c>
      <c r="GQ23" s="661" t="str">
        <f t="shared" si="151"/>
        <v/>
      </c>
      <c r="GR23" s="113" t="str">
        <f t="shared" si="152"/>
        <v/>
      </c>
      <c r="GS23" s="113" t="str">
        <f t="shared" si="153"/>
        <v/>
      </c>
      <c r="GT23" s="113" t="str">
        <f t="shared" si="154"/>
        <v/>
      </c>
      <c r="GU23" s="113" t="str">
        <f t="shared" si="155"/>
        <v/>
      </c>
      <c r="GV23" s="113" t="str">
        <f t="shared" si="156"/>
        <v/>
      </c>
      <c r="GW23" s="113" t="str">
        <f t="shared" si="157"/>
        <v/>
      </c>
      <c r="GX23" s="113" t="str">
        <f t="shared" si="158"/>
        <v/>
      </c>
      <c r="GY23" s="113" t="str">
        <f t="shared" si="159"/>
        <v/>
      </c>
      <c r="GZ23" s="113" t="str">
        <f t="shared" si="160"/>
        <v/>
      </c>
      <c r="HA23" s="113" t="str">
        <f t="shared" si="161"/>
        <v/>
      </c>
      <c r="HB23" s="113" t="str">
        <f t="shared" si="162"/>
        <v/>
      </c>
      <c r="HC23" s="113" t="str">
        <f t="shared" si="163"/>
        <v/>
      </c>
      <c r="HD23" s="113" t="str">
        <f t="shared" si="164"/>
        <v/>
      </c>
      <c r="HE23" s="113" t="str">
        <f t="shared" si="165"/>
        <v/>
      </c>
      <c r="HF23" s="113" t="str">
        <f t="shared" si="166"/>
        <v/>
      </c>
      <c r="HG23" s="113" t="str">
        <f t="shared" si="167"/>
        <v/>
      </c>
      <c r="HH23" s="113" t="str">
        <f t="shared" si="168"/>
        <v/>
      </c>
      <c r="HI23" s="113" t="str">
        <f t="shared" si="169"/>
        <v/>
      </c>
      <c r="HJ23" s="113" t="str">
        <f t="shared" si="170"/>
        <v/>
      </c>
      <c r="HK23" s="113" t="str">
        <f t="shared" si="171"/>
        <v/>
      </c>
    </row>
    <row r="24" spans="1:219" ht="13.2" customHeight="1">
      <c r="A24" s="146" t="str">
        <f t="shared" si="172"/>
        <v/>
      </c>
      <c r="B24" s="836"/>
      <c r="C24" s="837"/>
      <c r="D24" s="838"/>
      <c r="E24" s="839"/>
      <c r="F24" s="839"/>
      <c r="G24" s="839"/>
      <c r="H24" s="839"/>
      <c r="I24" s="839"/>
      <c r="J24" s="840"/>
      <c r="K24" s="227">
        <f t="shared" si="173"/>
        <v>0</v>
      </c>
      <c r="L24" s="227">
        <f t="shared" si="0"/>
        <v>0</v>
      </c>
      <c r="M24" s="841"/>
      <c r="N24" s="841"/>
      <c r="O24" s="841"/>
      <c r="P24" s="581" t="str">
        <f t="shared" si="407"/>
        <v/>
      </c>
      <c r="Q24" s="582" t="str">
        <f>IF(H24="","",P24/($P$6*VLOOKUP(C24,'DCA Underwriting Assumptions'!$J$77:$K$82,2,FALSE)))</f>
        <v/>
      </c>
      <c r="R24" s="739"/>
      <c r="S24" s="659"/>
      <c r="T24" s="113" t="str">
        <f t="shared" si="2"/>
        <v/>
      </c>
      <c r="U24" s="113" t="str">
        <f t="shared" si="3"/>
        <v/>
      </c>
      <c r="V24" s="113" t="str">
        <f t="shared" si="4"/>
        <v/>
      </c>
      <c r="W24" s="113" t="str">
        <f t="shared" si="5"/>
        <v/>
      </c>
      <c r="X24" s="113" t="str">
        <f t="shared" si="6"/>
        <v/>
      </c>
      <c r="Y24" s="113" t="str">
        <f t="shared" si="7"/>
        <v/>
      </c>
      <c r="Z24" s="113" t="str">
        <f t="shared" si="8"/>
        <v/>
      </c>
      <c r="AA24" s="113" t="str">
        <f t="shared" si="9"/>
        <v/>
      </c>
      <c r="AB24" s="113" t="str">
        <f t="shared" si="10"/>
        <v/>
      </c>
      <c r="AC24" s="113" t="str">
        <f t="shared" si="11"/>
        <v/>
      </c>
      <c r="AD24" s="113" t="str">
        <f t="shared" si="12"/>
        <v/>
      </c>
      <c r="AE24" s="113" t="str">
        <f t="shared" si="13"/>
        <v/>
      </c>
      <c r="AF24" s="113" t="str">
        <f t="shared" si="14"/>
        <v/>
      </c>
      <c r="AG24" s="113" t="str">
        <f t="shared" si="15"/>
        <v/>
      </c>
      <c r="AH24" s="113" t="str">
        <f t="shared" si="16"/>
        <v/>
      </c>
      <c r="AI24" s="113" t="str">
        <f t="shared" si="17"/>
        <v/>
      </c>
      <c r="AJ24" s="113" t="str">
        <f t="shared" si="18"/>
        <v/>
      </c>
      <c r="AK24" s="113" t="str">
        <f t="shared" si="19"/>
        <v/>
      </c>
      <c r="AL24" s="113" t="str">
        <f t="shared" si="20"/>
        <v/>
      </c>
      <c r="AM24" s="113" t="str">
        <f t="shared" si="21"/>
        <v/>
      </c>
      <c r="AN24" s="113" t="str">
        <f t="shared" si="174"/>
        <v/>
      </c>
      <c r="AO24" s="113" t="str">
        <f t="shared" si="175"/>
        <v/>
      </c>
      <c r="AP24" s="113" t="str">
        <f t="shared" si="176"/>
        <v/>
      </c>
      <c r="AQ24" s="113" t="str">
        <f t="shared" si="177"/>
        <v/>
      </c>
      <c r="AR24" s="113" t="str">
        <f t="shared" si="178"/>
        <v/>
      </c>
      <c r="AS24" s="113" t="str">
        <f t="shared" si="179"/>
        <v/>
      </c>
      <c r="AT24" s="113" t="str">
        <f t="shared" si="180"/>
        <v/>
      </c>
      <c r="AU24" s="113" t="str">
        <f t="shared" si="181"/>
        <v/>
      </c>
      <c r="AV24" s="113" t="str">
        <f t="shared" si="182"/>
        <v/>
      </c>
      <c r="AW24" s="113" t="str">
        <f t="shared" si="183"/>
        <v/>
      </c>
      <c r="AX24" s="113" t="str">
        <f t="shared" si="184"/>
        <v/>
      </c>
      <c r="AY24" s="113" t="str">
        <f t="shared" si="185"/>
        <v/>
      </c>
      <c r="AZ24" s="113" t="str">
        <f t="shared" si="186"/>
        <v/>
      </c>
      <c r="BA24" s="113" t="str">
        <f t="shared" si="187"/>
        <v/>
      </c>
      <c r="BB24" s="113" t="str">
        <f t="shared" si="188"/>
        <v/>
      </c>
      <c r="BC24" s="113" t="str">
        <f t="shared" si="189"/>
        <v/>
      </c>
      <c r="BD24" s="113" t="str">
        <f t="shared" si="190"/>
        <v/>
      </c>
      <c r="BE24" s="113" t="str">
        <f t="shared" si="191"/>
        <v/>
      </c>
      <c r="BF24" s="113" t="str">
        <f t="shared" si="192"/>
        <v/>
      </c>
      <c r="BG24" s="113" t="str">
        <f t="shared" si="193"/>
        <v/>
      </c>
      <c r="BH24" s="113" t="str">
        <f t="shared" si="194"/>
        <v/>
      </c>
      <c r="BI24" s="113" t="str">
        <f t="shared" si="195"/>
        <v/>
      </c>
      <c r="BJ24" s="113" t="str">
        <f t="shared" si="196"/>
        <v/>
      </c>
      <c r="BK24" s="113" t="str">
        <f t="shared" si="197"/>
        <v/>
      </c>
      <c r="BL24" s="113" t="str">
        <f t="shared" si="198"/>
        <v/>
      </c>
      <c r="BM24" s="113" t="str">
        <f t="shared" si="199"/>
        <v/>
      </c>
      <c r="BN24" s="113" t="str">
        <f t="shared" si="200"/>
        <v/>
      </c>
      <c r="BO24" s="113" t="str">
        <f t="shared" si="201"/>
        <v/>
      </c>
      <c r="BP24" s="113" t="str">
        <f t="shared" si="202"/>
        <v/>
      </c>
      <c r="BQ24" s="113" t="str">
        <f t="shared" si="203"/>
        <v/>
      </c>
      <c r="BR24" s="113" t="str">
        <f t="shared" si="22"/>
        <v/>
      </c>
      <c r="BS24" s="113" t="str">
        <f t="shared" si="23"/>
        <v/>
      </c>
      <c r="BT24" s="113" t="str">
        <f t="shared" si="24"/>
        <v/>
      </c>
      <c r="BU24" s="113" t="str">
        <f t="shared" si="25"/>
        <v/>
      </c>
      <c r="BV24" s="113" t="str">
        <f t="shared" si="26"/>
        <v/>
      </c>
      <c r="BW24" s="113" t="str">
        <f t="shared" si="27"/>
        <v/>
      </c>
      <c r="BX24" s="113" t="str">
        <f t="shared" si="28"/>
        <v/>
      </c>
      <c r="BY24" s="113" t="str">
        <f t="shared" si="29"/>
        <v/>
      </c>
      <c r="BZ24" s="113" t="str">
        <f t="shared" si="30"/>
        <v/>
      </c>
      <c r="CA24" s="113" t="str">
        <f t="shared" si="31"/>
        <v/>
      </c>
      <c r="CB24" s="113" t="str">
        <f t="shared" si="32"/>
        <v/>
      </c>
      <c r="CC24" s="113" t="str">
        <f t="shared" si="33"/>
        <v/>
      </c>
      <c r="CD24" s="113" t="str">
        <f t="shared" si="34"/>
        <v/>
      </c>
      <c r="CE24" s="113" t="str">
        <f t="shared" si="35"/>
        <v/>
      </c>
      <c r="CF24" s="113" t="str">
        <f t="shared" si="36"/>
        <v/>
      </c>
      <c r="CG24" s="113" t="str">
        <f t="shared" si="37"/>
        <v/>
      </c>
      <c r="CH24" s="113" t="str">
        <f t="shared" si="38"/>
        <v/>
      </c>
      <c r="CI24" s="113" t="str">
        <f t="shared" si="39"/>
        <v/>
      </c>
      <c r="CJ24" s="113" t="str">
        <f t="shared" si="40"/>
        <v/>
      </c>
      <c r="CK24" s="113" t="str">
        <f t="shared" si="41"/>
        <v/>
      </c>
      <c r="CL24" s="113" t="str">
        <f t="shared" si="42"/>
        <v/>
      </c>
      <c r="CM24" s="113" t="str">
        <f t="shared" si="43"/>
        <v/>
      </c>
      <c r="CN24" s="113" t="str">
        <f t="shared" si="44"/>
        <v/>
      </c>
      <c r="CO24" s="113" t="str">
        <f t="shared" si="45"/>
        <v/>
      </c>
      <c r="CP24" s="113" t="str">
        <f t="shared" si="46"/>
        <v/>
      </c>
      <c r="CQ24" s="113" t="str">
        <f t="shared" si="47"/>
        <v/>
      </c>
      <c r="CR24" s="113" t="str">
        <f t="shared" si="48"/>
        <v/>
      </c>
      <c r="CS24" s="113" t="str">
        <f t="shared" si="49"/>
        <v/>
      </c>
      <c r="CT24" s="113" t="str">
        <f t="shared" si="50"/>
        <v/>
      </c>
      <c r="CU24" s="113" t="str">
        <f t="shared" si="51"/>
        <v/>
      </c>
      <c r="CV24" s="113" t="str">
        <f t="shared" si="52"/>
        <v/>
      </c>
      <c r="CW24" s="113" t="str">
        <f t="shared" si="53"/>
        <v/>
      </c>
      <c r="CX24" s="113" t="str">
        <f t="shared" si="54"/>
        <v/>
      </c>
      <c r="CY24" s="113" t="str">
        <f t="shared" si="55"/>
        <v/>
      </c>
      <c r="CZ24" s="113" t="str">
        <f t="shared" si="56"/>
        <v/>
      </c>
      <c r="DA24" s="113" t="str">
        <f t="shared" si="57"/>
        <v/>
      </c>
      <c r="DB24" s="113" t="str">
        <f t="shared" si="58"/>
        <v/>
      </c>
      <c r="DC24" s="113" t="str">
        <f t="shared" si="59"/>
        <v/>
      </c>
      <c r="DD24" s="113" t="str">
        <f t="shared" si="60"/>
        <v/>
      </c>
      <c r="DE24" s="113" t="str">
        <f t="shared" si="61"/>
        <v/>
      </c>
      <c r="DF24" s="113" t="str">
        <f t="shared" si="62"/>
        <v/>
      </c>
      <c r="DG24" s="113" t="str">
        <f t="shared" si="63"/>
        <v/>
      </c>
      <c r="DH24" s="113" t="str">
        <f t="shared" si="64"/>
        <v/>
      </c>
      <c r="DI24" s="113" t="str">
        <f t="shared" si="65"/>
        <v/>
      </c>
      <c r="DJ24" s="113" t="str">
        <f t="shared" si="66"/>
        <v/>
      </c>
      <c r="DK24" s="113" t="str">
        <f t="shared" si="67"/>
        <v/>
      </c>
      <c r="DL24" s="113" t="str">
        <f t="shared" si="68"/>
        <v/>
      </c>
      <c r="DM24" s="113" t="str">
        <f t="shared" si="69"/>
        <v/>
      </c>
      <c r="DN24" s="113" t="str">
        <f t="shared" si="70"/>
        <v/>
      </c>
      <c r="DO24" s="113" t="str">
        <f t="shared" si="71"/>
        <v/>
      </c>
      <c r="DP24" s="113" t="str">
        <f t="shared" si="72"/>
        <v/>
      </c>
      <c r="DQ24" s="113" t="str">
        <f t="shared" si="73"/>
        <v/>
      </c>
      <c r="DR24" s="113" t="str">
        <f t="shared" si="74"/>
        <v/>
      </c>
      <c r="DS24" s="113" t="str">
        <f t="shared" si="75"/>
        <v/>
      </c>
      <c r="DT24" s="113" t="str">
        <f t="shared" si="76"/>
        <v/>
      </c>
      <c r="DU24" s="113" t="str">
        <f t="shared" si="77"/>
        <v/>
      </c>
      <c r="DV24" s="113" t="str">
        <f t="shared" si="78"/>
        <v/>
      </c>
      <c r="DW24" s="113" t="str">
        <f t="shared" si="79"/>
        <v/>
      </c>
      <c r="DX24" s="113" t="str">
        <f t="shared" si="80"/>
        <v/>
      </c>
      <c r="DY24" s="113" t="str">
        <f t="shared" si="81"/>
        <v/>
      </c>
      <c r="DZ24" s="113" t="str">
        <f t="shared" si="82"/>
        <v/>
      </c>
      <c r="EA24" s="113" t="str">
        <f t="shared" si="83"/>
        <v/>
      </c>
      <c r="EB24" s="113" t="str">
        <f t="shared" si="84"/>
        <v/>
      </c>
      <c r="EC24" s="113" t="str">
        <f t="shared" si="85"/>
        <v/>
      </c>
      <c r="ED24" s="113" t="str">
        <f t="shared" si="86"/>
        <v/>
      </c>
      <c r="EE24" s="113" t="str">
        <f t="shared" si="87"/>
        <v/>
      </c>
      <c r="EF24" s="113" t="str">
        <f t="shared" si="88"/>
        <v/>
      </c>
      <c r="EG24" s="113" t="str">
        <f t="shared" si="89"/>
        <v/>
      </c>
      <c r="EH24" s="113" t="str">
        <f t="shared" si="90"/>
        <v/>
      </c>
      <c r="EI24" s="113" t="str">
        <f t="shared" si="91"/>
        <v/>
      </c>
      <c r="EJ24" s="113" t="str">
        <f t="shared" si="92"/>
        <v/>
      </c>
      <c r="EK24" s="113" t="str">
        <f t="shared" si="93"/>
        <v/>
      </c>
      <c r="EL24" s="113" t="str">
        <f t="shared" si="94"/>
        <v/>
      </c>
      <c r="EM24" s="113" t="str">
        <f t="shared" si="95"/>
        <v/>
      </c>
      <c r="EN24" s="113" t="str">
        <f t="shared" si="96"/>
        <v/>
      </c>
      <c r="EO24" s="113" t="str">
        <f t="shared" si="97"/>
        <v/>
      </c>
      <c r="EP24" s="113" t="str">
        <f t="shared" si="98"/>
        <v/>
      </c>
      <c r="EQ24" s="113" t="str">
        <f t="shared" si="99"/>
        <v/>
      </c>
      <c r="ER24" s="113" t="str">
        <f t="shared" si="100"/>
        <v/>
      </c>
      <c r="ES24" s="113" t="str">
        <f t="shared" si="101"/>
        <v/>
      </c>
      <c r="ET24" s="660" t="str">
        <f t="shared" si="102"/>
        <v/>
      </c>
      <c r="EU24" s="660" t="str">
        <f t="shared" si="103"/>
        <v/>
      </c>
      <c r="EV24" s="660" t="str">
        <f t="shared" si="104"/>
        <v/>
      </c>
      <c r="EW24" s="660" t="str">
        <f t="shared" si="105"/>
        <v/>
      </c>
      <c r="EX24" s="660" t="str">
        <f t="shared" si="106"/>
        <v/>
      </c>
      <c r="EY24" s="660" t="str">
        <f t="shared" si="107"/>
        <v/>
      </c>
      <c r="EZ24" s="660" t="str">
        <f t="shared" si="108"/>
        <v/>
      </c>
      <c r="FA24" s="660" t="str">
        <f t="shared" si="109"/>
        <v/>
      </c>
      <c r="FB24" s="660" t="str">
        <f t="shared" si="110"/>
        <v/>
      </c>
      <c r="FC24" s="660" t="str">
        <f t="shared" si="111"/>
        <v/>
      </c>
      <c r="FD24" s="660" t="str">
        <f t="shared" si="112"/>
        <v/>
      </c>
      <c r="FE24" s="660" t="str">
        <f t="shared" si="113"/>
        <v/>
      </c>
      <c r="FF24" s="660" t="str">
        <f t="shared" si="114"/>
        <v/>
      </c>
      <c r="FG24" s="660" t="str">
        <f t="shared" si="115"/>
        <v/>
      </c>
      <c r="FH24" s="660" t="str">
        <f t="shared" si="116"/>
        <v/>
      </c>
      <c r="FI24" s="660" t="str">
        <f t="shared" si="117"/>
        <v/>
      </c>
      <c r="FJ24" s="660" t="str">
        <f t="shared" si="118"/>
        <v/>
      </c>
      <c r="FK24" s="660" t="str">
        <f t="shared" si="119"/>
        <v/>
      </c>
      <c r="FL24" s="660" t="str">
        <f t="shared" si="120"/>
        <v/>
      </c>
      <c r="FM24" s="660" t="str">
        <f t="shared" si="121"/>
        <v/>
      </c>
      <c r="FN24" s="660" t="str">
        <f t="shared" si="122"/>
        <v/>
      </c>
      <c r="FO24" s="660" t="str">
        <f t="shared" si="123"/>
        <v/>
      </c>
      <c r="FP24" s="660" t="str">
        <f t="shared" si="124"/>
        <v/>
      </c>
      <c r="FQ24" s="660" t="str">
        <f t="shared" si="125"/>
        <v/>
      </c>
      <c r="FR24" s="660" t="str">
        <f t="shared" si="126"/>
        <v/>
      </c>
      <c r="FS24" s="660" t="str">
        <f t="shared" si="127"/>
        <v/>
      </c>
      <c r="FT24" s="660" t="str">
        <f t="shared" si="128"/>
        <v/>
      </c>
      <c r="FU24" s="660" t="str">
        <f t="shared" si="129"/>
        <v/>
      </c>
      <c r="FV24" s="660" t="str">
        <f t="shared" si="130"/>
        <v/>
      </c>
      <c r="FW24" s="660" t="str">
        <f t="shared" si="131"/>
        <v/>
      </c>
      <c r="FX24" s="660" t="str">
        <f t="shared" si="132"/>
        <v/>
      </c>
      <c r="FY24" s="660" t="str">
        <f t="shared" si="133"/>
        <v/>
      </c>
      <c r="FZ24" s="660" t="str">
        <f t="shared" si="134"/>
        <v/>
      </c>
      <c r="GA24" s="660" t="str">
        <f t="shared" si="135"/>
        <v/>
      </c>
      <c r="GB24" s="660" t="str">
        <f t="shared" si="136"/>
        <v/>
      </c>
      <c r="GC24" s="660" t="str">
        <f t="shared" si="137"/>
        <v/>
      </c>
      <c r="GD24" s="660" t="str">
        <f t="shared" si="138"/>
        <v/>
      </c>
      <c r="GE24" s="660" t="str">
        <f t="shared" si="139"/>
        <v/>
      </c>
      <c r="GF24" s="660" t="str">
        <f t="shared" si="140"/>
        <v/>
      </c>
      <c r="GG24" s="660" t="str">
        <f t="shared" si="141"/>
        <v/>
      </c>
      <c r="GH24" s="660" t="str">
        <f t="shared" si="142"/>
        <v/>
      </c>
      <c r="GI24" s="660" t="str">
        <f t="shared" si="143"/>
        <v/>
      </c>
      <c r="GJ24" s="660" t="str">
        <f t="shared" si="144"/>
        <v/>
      </c>
      <c r="GK24" s="660" t="str">
        <f t="shared" si="145"/>
        <v/>
      </c>
      <c r="GL24" s="660" t="str">
        <f t="shared" si="146"/>
        <v/>
      </c>
      <c r="GM24" s="661" t="str">
        <f t="shared" si="147"/>
        <v/>
      </c>
      <c r="GN24" s="661" t="str">
        <f t="shared" si="148"/>
        <v/>
      </c>
      <c r="GO24" s="661" t="str">
        <f t="shared" si="149"/>
        <v/>
      </c>
      <c r="GP24" s="661" t="str">
        <f t="shared" si="150"/>
        <v/>
      </c>
      <c r="GQ24" s="661" t="str">
        <f t="shared" si="151"/>
        <v/>
      </c>
      <c r="GR24" s="113" t="str">
        <f t="shared" si="152"/>
        <v/>
      </c>
      <c r="GS24" s="113" t="str">
        <f t="shared" si="153"/>
        <v/>
      </c>
      <c r="GT24" s="113" t="str">
        <f t="shared" si="154"/>
        <v/>
      </c>
      <c r="GU24" s="113" t="str">
        <f t="shared" si="155"/>
        <v/>
      </c>
      <c r="GV24" s="113" t="str">
        <f t="shared" si="156"/>
        <v/>
      </c>
      <c r="GW24" s="113" t="str">
        <f t="shared" si="157"/>
        <v/>
      </c>
      <c r="GX24" s="113" t="str">
        <f t="shared" si="158"/>
        <v/>
      </c>
      <c r="GY24" s="113" t="str">
        <f t="shared" si="159"/>
        <v/>
      </c>
      <c r="GZ24" s="113" t="str">
        <f t="shared" si="160"/>
        <v/>
      </c>
      <c r="HA24" s="113" t="str">
        <f t="shared" si="161"/>
        <v/>
      </c>
      <c r="HB24" s="113" t="str">
        <f t="shared" si="162"/>
        <v/>
      </c>
      <c r="HC24" s="113" t="str">
        <f t="shared" si="163"/>
        <v/>
      </c>
      <c r="HD24" s="113" t="str">
        <f t="shared" si="164"/>
        <v/>
      </c>
      <c r="HE24" s="113" t="str">
        <f t="shared" si="165"/>
        <v/>
      </c>
      <c r="HF24" s="113" t="str">
        <f t="shared" si="166"/>
        <v/>
      </c>
      <c r="HG24" s="113" t="str">
        <f t="shared" si="167"/>
        <v/>
      </c>
      <c r="HH24" s="113" t="str">
        <f t="shared" si="168"/>
        <v/>
      </c>
      <c r="HI24" s="113" t="str">
        <f t="shared" si="169"/>
        <v/>
      </c>
      <c r="HJ24" s="113" t="str">
        <f t="shared" si="170"/>
        <v/>
      </c>
      <c r="HK24" s="113" t="str">
        <f t="shared" si="171"/>
        <v/>
      </c>
    </row>
    <row r="25" spans="1:219" ht="13.2" customHeight="1">
      <c r="A25" s="146" t="str">
        <f t="shared" si="172"/>
        <v/>
      </c>
      <c r="B25" s="836"/>
      <c r="C25" s="837"/>
      <c r="D25" s="838"/>
      <c r="E25" s="839"/>
      <c r="F25" s="839"/>
      <c r="G25" s="839"/>
      <c r="H25" s="839"/>
      <c r="I25" s="839"/>
      <c r="J25" s="840"/>
      <c r="K25" s="227">
        <f t="shared" si="173"/>
        <v>0</v>
      </c>
      <c r="L25" s="227">
        <f t="shared" si="0"/>
        <v>0</v>
      </c>
      <c r="M25" s="841"/>
      <c r="N25" s="841"/>
      <c r="O25" s="841"/>
      <c r="P25" s="581" t="str">
        <f t="shared" si="407"/>
        <v/>
      </c>
      <c r="Q25" s="582" t="str">
        <f>IF(H25="","",P25/($P$6*VLOOKUP(C25,'DCA Underwriting Assumptions'!$J$77:$K$82,2,FALSE)))</f>
        <v/>
      </c>
      <c r="R25" s="739"/>
      <c r="S25" s="659"/>
      <c r="T25" s="113" t="str">
        <f t="shared" si="2"/>
        <v/>
      </c>
      <c r="U25" s="113" t="str">
        <f t="shared" si="3"/>
        <v/>
      </c>
      <c r="V25" s="113" t="str">
        <f t="shared" si="4"/>
        <v/>
      </c>
      <c r="W25" s="113" t="str">
        <f t="shared" si="5"/>
        <v/>
      </c>
      <c r="X25" s="113" t="str">
        <f t="shared" si="6"/>
        <v/>
      </c>
      <c r="Y25" s="113" t="str">
        <f t="shared" si="7"/>
        <v/>
      </c>
      <c r="Z25" s="113" t="str">
        <f t="shared" si="8"/>
        <v/>
      </c>
      <c r="AA25" s="113" t="str">
        <f t="shared" si="9"/>
        <v/>
      </c>
      <c r="AB25" s="113" t="str">
        <f t="shared" si="10"/>
        <v/>
      </c>
      <c r="AC25" s="113" t="str">
        <f t="shared" si="11"/>
        <v/>
      </c>
      <c r="AD25" s="113" t="str">
        <f t="shared" si="12"/>
        <v/>
      </c>
      <c r="AE25" s="113" t="str">
        <f t="shared" si="13"/>
        <v/>
      </c>
      <c r="AF25" s="113" t="str">
        <f t="shared" si="14"/>
        <v/>
      </c>
      <c r="AG25" s="113" t="str">
        <f t="shared" si="15"/>
        <v/>
      </c>
      <c r="AH25" s="113" t="str">
        <f t="shared" si="16"/>
        <v/>
      </c>
      <c r="AI25" s="113" t="str">
        <f t="shared" si="17"/>
        <v/>
      </c>
      <c r="AJ25" s="113" t="str">
        <f t="shared" si="18"/>
        <v/>
      </c>
      <c r="AK25" s="113" t="str">
        <f t="shared" si="19"/>
        <v/>
      </c>
      <c r="AL25" s="113" t="str">
        <f t="shared" si="20"/>
        <v/>
      </c>
      <c r="AM25" s="113" t="str">
        <f t="shared" si="21"/>
        <v/>
      </c>
      <c r="AN25" s="113" t="str">
        <f t="shared" si="174"/>
        <v/>
      </c>
      <c r="AO25" s="113" t="str">
        <f t="shared" si="175"/>
        <v/>
      </c>
      <c r="AP25" s="113" t="str">
        <f t="shared" si="176"/>
        <v/>
      </c>
      <c r="AQ25" s="113" t="str">
        <f t="shared" si="177"/>
        <v/>
      </c>
      <c r="AR25" s="113" t="str">
        <f t="shared" si="178"/>
        <v/>
      </c>
      <c r="AS25" s="113" t="str">
        <f t="shared" si="179"/>
        <v/>
      </c>
      <c r="AT25" s="113" t="str">
        <f t="shared" si="180"/>
        <v/>
      </c>
      <c r="AU25" s="113" t="str">
        <f t="shared" si="181"/>
        <v/>
      </c>
      <c r="AV25" s="113" t="str">
        <f t="shared" si="182"/>
        <v/>
      </c>
      <c r="AW25" s="113" t="str">
        <f t="shared" si="183"/>
        <v/>
      </c>
      <c r="AX25" s="113" t="str">
        <f t="shared" si="184"/>
        <v/>
      </c>
      <c r="AY25" s="113" t="str">
        <f t="shared" si="185"/>
        <v/>
      </c>
      <c r="AZ25" s="113" t="str">
        <f t="shared" si="186"/>
        <v/>
      </c>
      <c r="BA25" s="113" t="str">
        <f t="shared" si="187"/>
        <v/>
      </c>
      <c r="BB25" s="113" t="str">
        <f t="shared" si="188"/>
        <v/>
      </c>
      <c r="BC25" s="113" t="str">
        <f t="shared" si="189"/>
        <v/>
      </c>
      <c r="BD25" s="113" t="str">
        <f t="shared" si="190"/>
        <v/>
      </c>
      <c r="BE25" s="113" t="str">
        <f t="shared" si="191"/>
        <v/>
      </c>
      <c r="BF25" s="113" t="str">
        <f t="shared" si="192"/>
        <v/>
      </c>
      <c r="BG25" s="113" t="str">
        <f t="shared" si="193"/>
        <v/>
      </c>
      <c r="BH25" s="113" t="str">
        <f t="shared" si="194"/>
        <v/>
      </c>
      <c r="BI25" s="113" t="str">
        <f t="shared" si="195"/>
        <v/>
      </c>
      <c r="BJ25" s="113" t="str">
        <f t="shared" si="196"/>
        <v/>
      </c>
      <c r="BK25" s="113" t="str">
        <f t="shared" si="197"/>
        <v/>
      </c>
      <c r="BL25" s="113" t="str">
        <f t="shared" si="198"/>
        <v/>
      </c>
      <c r="BM25" s="113" t="str">
        <f t="shared" si="199"/>
        <v/>
      </c>
      <c r="BN25" s="113" t="str">
        <f t="shared" si="200"/>
        <v/>
      </c>
      <c r="BO25" s="113" t="str">
        <f t="shared" si="201"/>
        <v/>
      </c>
      <c r="BP25" s="113" t="str">
        <f t="shared" si="202"/>
        <v/>
      </c>
      <c r="BQ25" s="113" t="str">
        <f t="shared" si="203"/>
        <v/>
      </c>
      <c r="BR25" s="113" t="str">
        <f t="shared" si="22"/>
        <v/>
      </c>
      <c r="BS25" s="113" t="str">
        <f t="shared" si="23"/>
        <v/>
      </c>
      <c r="BT25" s="113" t="str">
        <f t="shared" si="24"/>
        <v/>
      </c>
      <c r="BU25" s="113" t="str">
        <f t="shared" si="25"/>
        <v/>
      </c>
      <c r="BV25" s="113" t="str">
        <f t="shared" si="26"/>
        <v/>
      </c>
      <c r="BW25" s="113" t="str">
        <f t="shared" si="27"/>
        <v/>
      </c>
      <c r="BX25" s="113" t="str">
        <f t="shared" si="28"/>
        <v/>
      </c>
      <c r="BY25" s="113" t="str">
        <f t="shared" si="29"/>
        <v/>
      </c>
      <c r="BZ25" s="113" t="str">
        <f t="shared" si="30"/>
        <v/>
      </c>
      <c r="CA25" s="113" t="str">
        <f t="shared" si="31"/>
        <v/>
      </c>
      <c r="CB25" s="113" t="str">
        <f t="shared" si="32"/>
        <v/>
      </c>
      <c r="CC25" s="113" t="str">
        <f t="shared" si="33"/>
        <v/>
      </c>
      <c r="CD25" s="113" t="str">
        <f t="shared" si="34"/>
        <v/>
      </c>
      <c r="CE25" s="113" t="str">
        <f t="shared" si="35"/>
        <v/>
      </c>
      <c r="CF25" s="113" t="str">
        <f t="shared" si="36"/>
        <v/>
      </c>
      <c r="CG25" s="113" t="str">
        <f t="shared" si="37"/>
        <v/>
      </c>
      <c r="CH25" s="113" t="str">
        <f t="shared" si="38"/>
        <v/>
      </c>
      <c r="CI25" s="113" t="str">
        <f t="shared" si="39"/>
        <v/>
      </c>
      <c r="CJ25" s="113" t="str">
        <f t="shared" si="40"/>
        <v/>
      </c>
      <c r="CK25" s="113" t="str">
        <f t="shared" si="41"/>
        <v/>
      </c>
      <c r="CL25" s="113" t="str">
        <f t="shared" si="42"/>
        <v/>
      </c>
      <c r="CM25" s="113" t="str">
        <f t="shared" si="43"/>
        <v/>
      </c>
      <c r="CN25" s="113" t="str">
        <f t="shared" si="44"/>
        <v/>
      </c>
      <c r="CO25" s="113" t="str">
        <f t="shared" si="45"/>
        <v/>
      </c>
      <c r="CP25" s="113" t="str">
        <f t="shared" si="46"/>
        <v/>
      </c>
      <c r="CQ25" s="113" t="str">
        <f t="shared" si="47"/>
        <v/>
      </c>
      <c r="CR25" s="113" t="str">
        <f t="shared" si="48"/>
        <v/>
      </c>
      <c r="CS25" s="113" t="str">
        <f t="shared" si="49"/>
        <v/>
      </c>
      <c r="CT25" s="113" t="str">
        <f t="shared" si="50"/>
        <v/>
      </c>
      <c r="CU25" s="113" t="str">
        <f t="shared" si="51"/>
        <v/>
      </c>
      <c r="CV25" s="113" t="str">
        <f t="shared" si="52"/>
        <v/>
      </c>
      <c r="CW25" s="113" t="str">
        <f t="shared" si="53"/>
        <v/>
      </c>
      <c r="CX25" s="113" t="str">
        <f t="shared" si="54"/>
        <v/>
      </c>
      <c r="CY25" s="113" t="str">
        <f t="shared" si="55"/>
        <v/>
      </c>
      <c r="CZ25" s="113" t="str">
        <f t="shared" si="56"/>
        <v/>
      </c>
      <c r="DA25" s="113" t="str">
        <f t="shared" si="57"/>
        <v/>
      </c>
      <c r="DB25" s="113" t="str">
        <f t="shared" si="58"/>
        <v/>
      </c>
      <c r="DC25" s="113" t="str">
        <f t="shared" si="59"/>
        <v/>
      </c>
      <c r="DD25" s="113" t="str">
        <f t="shared" si="60"/>
        <v/>
      </c>
      <c r="DE25" s="113" t="str">
        <f t="shared" si="61"/>
        <v/>
      </c>
      <c r="DF25" s="113" t="str">
        <f t="shared" si="62"/>
        <v/>
      </c>
      <c r="DG25" s="113" t="str">
        <f t="shared" si="63"/>
        <v/>
      </c>
      <c r="DH25" s="113" t="str">
        <f t="shared" si="64"/>
        <v/>
      </c>
      <c r="DI25" s="113" t="str">
        <f t="shared" si="65"/>
        <v/>
      </c>
      <c r="DJ25" s="113" t="str">
        <f t="shared" si="66"/>
        <v/>
      </c>
      <c r="DK25" s="113" t="str">
        <f t="shared" si="67"/>
        <v/>
      </c>
      <c r="DL25" s="113" t="str">
        <f t="shared" si="68"/>
        <v/>
      </c>
      <c r="DM25" s="113" t="str">
        <f t="shared" si="69"/>
        <v/>
      </c>
      <c r="DN25" s="113" t="str">
        <f t="shared" si="70"/>
        <v/>
      </c>
      <c r="DO25" s="113" t="str">
        <f t="shared" si="71"/>
        <v/>
      </c>
      <c r="DP25" s="113" t="str">
        <f t="shared" si="72"/>
        <v/>
      </c>
      <c r="DQ25" s="113" t="str">
        <f t="shared" si="73"/>
        <v/>
      </c>
      <c r="DR25" s="113" t="str">
        <f t="shared" si="74"/>
        <v/>
      </c>
      <c r="DS25" s="113" t="str">
        <f t="shared" si="75"/>
        <v/>
      </c>
      <c r="DT25" s="113" t="str">
        <f t="shared" si="76"/>
        <v/>
      </c>
      <c r="DU25" s="113" t="str">
        <f t="shared" si="77"/>
        <v/>
      </c>
      <c r="DV25" s="113" t="str">
        <f t="shared" si="78"/>
        <v/>
      </c>
      <c r="DW25" s="113" t="str">
        <f t="shared" si="79"/>
        <v/>
      </c>
      <c r="DX25" s="113" t="str">
        <f t="shared" si="80"/>
        <v/>
      </c>
      <c r="DY25" s="113" t="str">
        <f t="shared" si="81"/>
        <v/>
      </c>
      <c r="DZ25" s="113" t="str">
        <f t="shared" si="82"/>
        <v/>
      </c>
      <c r="EA25" s="113" t="str">
        <f t="shared" si="83"/>
        <v/>
      </c>
      <c r="EB25" s="113" t="str">
        <f t="shared" si="84"/>
        <v/>
      </c>
      <c r="EC25" s="113" t="str">
        <f t="shared" si="85"/>
        <v/>
      </c>
      <c r="ED25" s="113" t="str">
        <f t="shared" si="86"/>
        <v/>
      </c>
      <c r="EE25" s="113" t="str">
        <f t="shared" si="87"/>
        <v/>
      </c>
      <c r="EF25" s="113" t="str">
        <f t="shared" si="88"/>
        <v/>
      </c>
      <c r="EG25" s="113" t="str">
        <f t="shared" si="89"/>
        <v/>
      </c>
      <c r="EH25" s="113" t="str">
        <f t="shared" si="90"/>
        <v/>
      </c>
      <c r="EI25" s="113" t="str">
        <f t="shared" si="91"/>
        <v/>
      </c>
      <c r="EJ25" s="113" t="str">
        <f t="shared" si="92"/>
        <v/>
      </c>
      <c r="EK25" s="113" t="str">
        <f t="shared" si="93"/>
        <v/>
      </c>
      <c r="EL25" s="113" t="str">
        <f t="shared" si="94"/>
        <v/>
      </c>
      <c r="EM25" s="113" t="str">
        <f t="shared" si="95"/>
        <v/>
      </c>
      <c r="EN25" s="113" t="str">
        <f t="shared" si="96"/>
        <v/>
      </c>
      <c r="EO25" s="113" t="str">
        <f t="shared" si="97"/>
        <v/>
      </c>
      <c r="EP25" s="113" t="str">
        <f t="shared" si="98"/>
        <v/>
      </c>
      <c r="EQ25" s="113" t="str">
        <f t="shared" si="99"/>
        <v/>
      </c>
      <c r="ER25" s="113" t="str">
        <f t="shared" si="100"/>
        <v/>
      </c>
      <c r="ES25" s="113" t="str">
        <f t="shared" si="101"/>
        <v/>
      </c>
      <c r="ET25" s="660" t="str">
        <f t="shared" si="102"/>
        <v/>
      </c>
      <c r="EU25" s="660" t="str">
        <f t="shared" si="103"/>
        <v/>
      </c>
      <c r="EV25" s="660" t="str">
        <f t="shared" si="104"/>
        <v/>
      </c>
      <c r="EW25" s="660" t="str">
        <f t="shared" si="105"/>
        <v/>
      </c>
      <c r="EX25" s="660" t="str">
        <f t="shared" si="106"/>
        <v/>
      </c>
      <c r="EY25" s="660" t="str">
        <f t="shared" si="107"/>
        <v/>
      </c>
      <c r="EZ25" s="660" t="str">
        <f t="shared" si="108"/>
        <v/>
      </c>
      <c r="FA25" s="660" t="str">
        <f t="shared" si="109"/>
        <v/>
      </c>
      <c r="FB25" s="660" t="str">
        <f t="shared" si="110"/>
        <v/>
      </c>
      <c r="FC25" s="660" t="str">
        <f t="shared" si="111"/>
        <v/>
      </c>
      <c r="FD25" s="660" t="str">
        <f t="shared" si="112"/>
        <v/>
      </c>
      <c r="FE25" s="660" t="str">
        <f t="shared" si="113"/>
        <v/>
      </c>
      <c r="FF25" s="660" t="str">
        <f t="shared" si="114"/>
        <v/>
      </c>
      <c r="FG25" s="660" t="str">
        <f t="shared" si="115"/>
        <v/>
      </c>
      <c r="FH25" s="660" t="str">
        <f t="shared" si="116"/>
        <v/>
      </c>
      <c r="FI25" s="660" t="str">
        <f t="shared" si="117"/>
        <v/>
      </c>
      <c r="FJ25" s="660" t="str">
        <f t="shared" si="118"/>
        <v/>
      </c>
      <c r="FK25" s="660" t="str">
        <f t="shared" si="119"/>
        <v/>
      </c>
      <c r="FL25" s="660" t="str">
        <f t="shared" si="120"/>
        <v/>
      </c>
      <c r="FM25" s="660" t="str">
        <f t="shared" si="121"/>
        <v/>
      </c>
      <c r="FN25" s="660" t="str">
        <f t="shared" si="122"/>
        <v/>
      </c>
      <c r="FO25" s="660" t="str">
        <f t="shared" si="123"/>
        <v/>
      </c>
      <c r="FP25" s="660" t="str">
        <f t="shared" si="124"/>
        <v/>
      </c>
      <c r="FQ25" s="660" t="str">
        <f t="shared" si="125"/>
        <v/>
      </c>
      <c r="FR25" s="660" t="str">
        <f t="shared" si="126"/>
        <v/>
      </c>
      <c r="FS25" s="660" t="str">
        <f t="shared" si="127"/>
        <v/>
      </c>
      <c r="FT25" s="660" t="str">
        <f t="shared" si="128"/>
        <v/>
      </c>
      <c r="FU25" s="660" t="str">
        <f t="shared" si="129"/>
        <v/>
      </c>
      <c r="FV25" s="660" t="str">
        <f t="shared" si="130"/>
        <v/>
      </c>
      <c r="FW25" s="660" t="str">
        <f t="shared" si="131"/>
        <v/>
      </c>
      <c r="FX25" s="660" t="str">
        <f t="shared" si="132"/>
        <v/>
      </c>
      <c r="FY25" s="660" t="str">
        <f t="shared" si="133"/>
        <v/>
      </c>
      <c r="FZ25" s="660" t="str">
        <f t="shared" si="134"/>
        <v/>
      </c>
      <c r="GA25" s="660" t="str">
        <f t="shared" si="135"/>
        <v/>
      </c>
      <c r="GB25" s="660" t="str">
        <f t="shared" si="136"/>
        <v/>
      </c>
      <c r="GC25" s="660" t="str">
        <f t="shared" si="137"/>
        <v/>
      </c>
      <c r="GD25" s="660" t="str">
        <f t="shared" si="138"/>
        <v/>
      </c>
      <c r="GE25" s="660" t="str">
        <f t="shared" si="139"/>
        <v/>
      </c>
      <c r="GF25" s="660" t="str">
        <f t="shared" si="140"/>
        <v/>
      </c>
      <c r="GG25" s="660" t="str">
        <f t="shared" si="141"/>
        <v/>
      </c>
      <c r="GH25" s="660" t="str">
        <f t="shared" si="142"/>
        <v/>
      </c>
      <c r="GI25" s="660" t="str">
        <f t="shared" si="143"/>
        <v/>
      </c>
      <c r="GJ25" s="660" t="str">
        <f t="shared" si="144"/>
        <v/>
      </c>
      <c r="GK25" s="660" t="str">
        <f t="shared" si="145"/>
        <v/>
      </c>
      <c r="GL25" s="660" t="str">
        <f t="shared" si="146"/>
        <v/>
      </c>
      <c r="GM25" s="661" t="str">
        <f t="shared" si="147"/>
        <v/>
      </c>
      <c r="GN25" s="661" t="str">
        <f t="shared" si="148"/>
        <v/>
      </c>
      <c r="GO25" s="661" t="str">
        <f t="shared" si="149"/>
        <v/>
      </c>
      <c r="GP25" s="661" t="str">
        <f t="shared" si="150"/>
        <v/>
      </c>
      <c r="GQ25" s="661" t="str">
        <f t="shared" si="151"/>
        <v/>
      </c>
      <c r="GR25" s="113" t="str">
        <f t="shared" si="152"/>
        <v/>
      </c>
      <c r="GS25" s="113" t="str">
        <f t="shared" si="153"/>
        <v/>
      </c>
      <c r="GT25" s="113" t="str">
        <f t="shared" si="154"/>
        <v/>
      </c>
      <c r="GU25" s="113" t="str">
        <f t="shared" si="155"/>
        <v/>
      </c>
      <c r="GV25" s="113" t="str">
        <f t="shared" si="156"/>
        <v/>
      </c>
      <c r="GW25" s="113" t="str">
        <f t="shared" si="157"/>
        <v/>
      </c>
      <c r="GX25" s="113" t="str">
        <f t="shared" si="158"/>
        <v/>
      </c>
      <c r="GY25" s="113" t="str">
        <f t="shared" si="159"/>
        <v/>
      </c>
      <c r="GZ25" s="113" t="str">
        <f t="shared" si="160"/>
        <v/>
      </c>
      <c r="HA25" s="113" t="str">
        <f t="shared" si="161"/>
        <v/>
      </c>
      <c r="HB25" s="113" t="str">
        <f t="shared" si="162"/>
        <v/>
      </c>
      <c r="HC25" s="113" t="str">
        <f t="shared" si="163"/>
        <v/>
      </c>
      <c r="HD25" s="113" t="str">
        <f t="shared" si="164"/>
        <v/>
      </c>
      <c r="HE25" s="113" t="str">
        <f t="shared" si="165"/>
        <v/>
      </c>
      <c r="HF25" s="113" t="str">
        <f t="shared" si="166"/>
        <v/>
      </c>
      <c r="HG25" s="113" t="str">
        <f t="shared" si="167"/>
        <v/>
      </c>
      <c r="HH25" s="113" t="str">
        <f t="shared" si="168"/>
        <v/>
      </c>
      <c r="HI25" s="113" t="str">
        <f t="shared" si="169"/>
        <v/>
      </c>
      <c r="HJ25" s="113" t="str">
        <f t="shared" si="170"/>
        <v/>
      </c>
      <c r="HK25" s="113" t="str">
        <f t="shared" si="171"/>
        <v/>
      </c>
    </row>
    <row r="26" spans="1:219" ht="13.2" customHeight="1">
      <c r="A26" s="146" t="str">
        <f t="shared" si="172"/>
        <v/>
      </c>
      <c r="B26" s="836"/>
      <c r="C26" s="837"/>
      <c r="D26" s="838"/>
      <c r="E26" s="839"/>
      <c r="F26" s="839"/>
      <c r="G26" s="839"/>
      <c r="H26" s="839"/>
      <c r="I26" s="839"/>
      <c r="J26" s="840"/>
      <c r="K26" s="227">
        <f t="shared" si="173"/>
        <v>0</v>
      </c>
      <c r="L26" s="227">
        <f t="shared" si="0"/>
        <v>0</v>
      </c>
      <c r="M26" s="841"/>
      <c r="N26" s="841"/>
      <c r="O26" s="841"/>
      <c r="P26" s="581" t="str">
        <f t="shared" si="407"/>
        <v/>
      </c>
      <c r="Q26" s="582" t="str">
        <f>IF(H26="","",P26/($P$6*VLOOKUP(C26,'DCA Underwriting Assumptions'!$J$77:$K$82,2,FALSE)))</f>
        <v/>
      </c>
      <c r="R26" s="739"/>
      <c r="S26" s="659"/>
      <c r="T26" s="113" t="str">
        <f t="shared" si="2"/>
        <v/>
      </c>
      <c r="U26" s="113" t="str">
        <f t="shared" si="3"/>
        <v/>
      </c>
      <c r="V26" s="113" t="str">
        <f t="shared" si="4"/>
        <v/>
      </c>
      <c r="W26" s="113" t="str">
        <f t="shared" si="5"/>
        <v/>
      </c>
      <c r="X26" s="113" t="str">
        <f t="shared" si="6"/>
        <v/>
      </c>
      <c r="Y26" s="113" t="str">
        <f t="shared" si="7"/>
        <v/>
      </c>
      <c r="Z26" s="113" t="str">
        <f t="shared" si="8"/>
        <v/>
      </c>
      <c r="AA26" s="113" t="str">
        <f t="shared" si="9"/>
        <v/>
      </c>
      <c r="AB26" s="113" t="str">
        <f t="shared" si="10"/>
        <v/>
      </c>
      <c r="AC26" s="113" t="str">
        <f t="shared" si="11"/>
        <v/>
      </c>
      <c r="AD26" s="113" t="str">
        <f t="shared" si="12"/>
        <v/>
      </c>
      <c r="AE26" s="113" t="str">
        <f t="shared" si="13"/>
        <v/>
      </c>
      <c r="AF26" s="113" t="str">
        <f t="shared" si="14"/>
        <v/>
      </c>
      <c r="AG26" s="113" t="str">
        <f t="shared" si="15"/>
        <v/>
      </c>
      <c r="AH26" s="113" t="str">
        <f t="shared" si="16"/>
        <v/>
      </c>
      <c r="AI26" s="113" t="str">
        <f t="shared" si="17"/>
        <v/>
      </c>
      <c r="AJ26" s="113" t="str">
        <f t="shared" si="18"/>
        <v/>
      </c>
      <c r="AK26" s="113" t="str">
        <f t="shared" si="19"/>
        <v/>
      </c>
      <c r="AL26" s="113" t="str">
        <f t="shared" si="20"/>
        <v/>
      </c>
      <c r="AM26" s="113" t="str">
        <f t="shared" si="21"/>
        <v/>
      </c>
      <c r="AN26" s="113" t="str">
        <f t="shared" si="174"/>
        <v/>
      </c>
      <c r="AO26" s="113" t="str">
        <f t="shared" si="175"/>
        <v/>
      </c>
      <c r="AP26" s="113" t="str">
        <f t="shared" si="176"/>
        <v/>
      </c>
      <c r="AQ26" s="113" t="str">
        <f t="shared" si="177"/>
        <v/>
      </c>
      <c r="AR26" s="113" t="str">
        <f t="shared" si="178"/>
        <v/>
      </c>
      <c r="AS26" s="113" t="str">
        <f t="shared" si="179"/>
        <v/>
      </c>
      <c r="AT26" s="113" t="str">
        <f t="shared" si="180"/>
        <v/>
      </c>
      <c r="AU26" s="113" t="str">
        <f t="shared" si="181"/>
        <v/>
      </c>
      <c r="AV26" s="113" t="str">
        <f t="shared" si="182"/>
        <v/>
      </c>
      <c r="AW26" s="113" t="str">
        <f t="shared" si="183"/>
        <v/>
      </c>
      <c r="AX26" s="113" t="str">
        <f t="shared" si="184"/>
        <v/>
      </c>
      <c r="AY26" s="113" t="str">
        <f t="shared" si="185"/>
        <v/>
      </c>
      <c r="AZ26" s="113" t="str">
        <f t="shared" si="186"/>
        <v/>
      </c>
      <c r="BA26" s="113" t="str">
        <f t="shared" si="187"/>
        <v/>
      </c>
      <c r="BB26" s="113" t="str">
        <f t="shared" si="188"/>
        <v/>
      </c>
      <c r="BC26" s="113" t="str">
        <f t="shared" si="189"/>
        <v/>
      </c>
      <c r="BD26" s="113" t="str">
        <f t="shared" si="190"/>
        <v/>
      </c>
      <c r="BE26" s="113" t="str">
        <f t="shared" si="191"/>
        <v/>
      </c>
      <c r="BF26" s="113" t="str">
        <f t="shared" si="192"/>
        <v/>
      </c>
      <c r="BG26" s="113" t="str">
        <f t="shared" si="193"/>
        <v/>
      </c>
      <c r="BH26" s="113" t="str">
        <f t="shared" si="194"/>
        <v/>
      </c>
      <c r="BI26" s="113" t="str">
        <f t="shared" si="195"/>
        <v/>
      </c>
      <c r="BJ26" s="113" t="str">
        <f t="shared" si="196"/>
        <v/>
      </c>
      <c r="BK26" s="113" t="str">
        <f t="shared" si="197"/>
        <v/>
      </c>
      <c r="BL26" s="113" t="str">
        <f t="shared" si="198"/>
        <v/>
      </c>
      <c r="BM26" s="113" t="str">
        <f t="shared" si="199"/>
        <v/>
      </c>
      <c r="BN26" s="113" t="str">
        <f t="shared" si="200"/>
        <v/>
      </c>
      <c r="BO26" s="113" t="str">
        <f t="shared" si="201"/>
        <v/>
      </c>
      <c r="BP26" s="113" t="str">
        <f t="shared" si="202"/>
        <v/>
      </c>
      <c r="BQ26" s="113" t="str">
        <f t="shared" si="203"/>
        <v/>
      </c>
      <c r="BR26" s="113" t="str">
        <f t="shared" si="22"/>
        <v/>
      </c>
      <c r="BS26" s="113" t="str">
        <f t="shared" si="23"/>
        <v/>
      </c>
      <c r="BT26" s="113" t="str">
        <f t="shared" si="24"/>
        <v/>
      </c>
      <c r="BU26" s="113" t="str">
        <f t="shared" si="25"/>
        <v/>
      </c>
      <c r="BV26" s="113" t="str">
        <f t="shared" si="26"/>
        <v/>
      </c>
      <c r="BW26" s="113" t="str">
        <f t="shared" si="27"/>
        <v/>
      </c>
      <c r="BX26" s="113" t="str">
        <f t="shared" si="28"/>
        <v/>
      </c>
      <c r="BY26" s="113" t="str">
        <f t="shared" si="29"/>
        <v/>
      </c>
      <c r="BZ26" s="113" t="str">
        <f t="shared" si="30"/>
        <v/>
      </c>
      <c r="CA26" s="113" t="str">
        <f t="shared" si="31"/>
        <v/>
      </c>
      <c r="CB26" s="113" t="str">
        <f t="shared" si="32"/>
        <v/>
      </c>
      <c r="CC26" s="113" t="str">
        <f t="shared" si="33"/>
        <v/>
      </c>
      <c r="CD26" s="113" t="str">
        <f t="shared" si="34"/>
        <v/>
      </c>
      <c r="CE26" s="113" t="str">
        <f t="shared" si="35"/>
        <v/>
      </c>
      <c r="CF26" s="113" t="str">
        <f t="shared" si="36"/>
        <v/>
      </c>
      <c r="CG26" s="113" t="str">
        <f t="shared" si="37"/>
        <v/>
      </c>
      <c r="CH26" s="113" t="str">
        <f t="shared" si="38"/>
        <v/>
      </c>
      <c r="CI26" s="113" t="str">
        <f t="shared" si="39"/>
        <v/>
      </c>
      <c r="CJ26" s="113" t="str">
        <f t="shared" si="40"/>
        <v/>
      </c>
      <c r="CK26" s="113" t="str">
        <f t="shared" si="41"/>
        <v/>
      </c>
      <c r="CL26" s="113" t="str">
        <f t="shared" si="42"/>
        <v/>
      </c>
      <c r="CM26" s="113" t="str">
        <f t="shared" si="43"/>
        <v/>
      </c>
      <c r="CN26" s="113" t="str">
        <f t="shared" si="44"/>
        <v/>
      </c>
      <c r="CO26" s="113" t="str">
        <f t="shared" si="45"/>
        <v/>
      </c>
      <c r="CP26" s="113" t="str">
        <f t="shared" si="46"/>
        <v/>
      </c>
      <c r="CQ26" s="113" t="str">
        <f t="shared" si="47"/>
        <v/>
      </c>
      <c r="CR26" s="113" t="str">
        <f t="shared" si="48"/>
        <v/>
      </c>
      <c r="CS26" s="113" t="str">
        <f t="shared" si="49"/>
        <v/>
      </c>
      <c r="CT26" s="113" t="str">
        <f t="shared" si="50"/>
        <v/>
      </c>
      <c r="CU26" s="113" t="str">
        <f t="shared" si="51"/>
        <v/>
      </c>
      <c r="CV26" s="113" t="str">
        <f t="shared" si="52"/>
        <v/>
      </c>
      <c r="CW26" s="113" t="str">
        <f t="shared" si="53"/>
        <v/>
      </c>
      <c r="CX26" s="113" t="str">
        <f t="shared" si="54"/>
        <v/>
      </c>
      <c r="CY26" s="113" t="str">
        <f t="shared" si="55"/>
        <v/>
      </c>
      <c r="CZ26" s="113" t="str">
        <f t="shared" si="56"/>
        <v/>
      </c>
      <c r="DA26" s="113" t="str">
        <f t="shared" si="57"/>
        <v/>
      </c>
      <c r="DB26" s="113" t="str">
        <f t="shared" si="58"/>
        <v/>
      </c>
      <c r="DC26" s="113" t="str">
        <f t="shared" si="59"/>
        <v/>
      </c>
      <c r="DD26" s="113" t="str">
        <f t="shared" si="60"/>
        <v/>
      </c>
      <c r="DE26" s="113" t="str">
        <f t="shared" si="61"/>
        <v/>
      </c>
      <c r="DF26" s="113" t="str">
        <f t="shared" si="62"/>
        <v/>
      </c>
      <c r="DG26" s="113" t="str">
        <f t="shared" si="63"/>
        <v/>
      </c>
      <c r="DH26" s="113" t="str">
        <f t="shared" si="64"/>
        <v/>
      </c>
      <c r="DI26" s="113" t="str">
        <f t="shared" si="65"/>
        <v/>
      </c>
      <c r="DJ26" s="113" t="str">
        <f t="shared" si="66"/>
        <v/>
      </c>
      <c r="DK26" s="113" t="str">
        <f t="shared" si="67"/>
        <v/>
      </c>
      <c r="DL26" s="113" t="str">
        <f t="shared" si="68"/>
        <v/>
      </c>
      <c r="DM26" s="113" t="str">
        <f t="shared" si="69"/>
        <v/>
      </c>
      <c r="DN26" s="113" t="str">
        <f t="shared" si="70"/>
        <v/>
      </c>
      <c r="DO26" s="113" t="str">
        <f t="shared" si="71"/>
        <v/>
      </c>
      <c r="DP26" s="113" t="str">
        <f t="shared" si="72"/>
        <v/>
      </c>
      <c r="DQ26" s="113" t="str">
        <f t="shared" si="73"/>
        <v/>
      </c>
      <c r="DR26" s="113" t="str">
        <f t="shared" si="74"/>
        <v/>
      </c>
      <c r="DS26" s="113" t="str">
        <f t="shared" si="75"/>
        <v/>
      </c>
      <c r="DT26" s="113" t="str">
        <f t="shared" si="76"/>
        <v/>
      </c>
      <c r="DU26" s="113" t="str">
        <f t="shared" si="77"/>
        <v/>
      </c>
      <c r="DV26" s="113" t="str">
        <f t="shared" si="78"/>
        <v/>
      </c>
      <c r="DW26" s="113" t="str">
        <f t="shared" si="79"/>
        <v/>
      </c>
      <c r="DX26" s="113" t="str">
        <f t="shared" si="80"/>
        <v/>
      </c>
      <c r="DY26" s="113" t="str">
        <f t="shared" si="81"/>
        <v/>
      </c>
      <c r="DZ26" s="113" t="str">
        <f t="shared" si="82"/>
        <v/>
      </c>
      <c r="EA26" s="113" t="str">
        <f t="shared" si="83"/>
        <v/>
      </c>
      <c r="EB26" s="113" t="str">
        <f t="shared" si="84"/>
        <v/>
      </c>
      <c r="EC26" s="113" t="str">
        <f t="shared" si="85"/>
        <v/>
      </c>
      <c r="ED26" s="113" t="str">
        <f t="shared" si="86"/>
        <v/>
      </c>
      <c r="EE26" s="113" t="str">
        <f t="shared" si="87"/>
        <v/>
      </c>
      <c r="EF26" s="113" t="str">
        <f t="shared" si="88"/>
        <v/>
      </c>
      <c r="EG26" s="113" t="str">
        <f t="shared" si="89"/>
        <v/>
      </c>
      <c r="EH26" s="113" t="str">
        <f t="shared" si="90"/>
        <v/>
      </c>
      <c r="EI26" s="113" t="str">
        <f t="shared" si="91"/>
        <v/>
      </c>
      <c r="EJ26" s="113" t="str">
        <f t="shared" si="92"/>
        <v/>
      </c>
      <c r="EK26" s="113" t="str">
        <f t="shared" si="93"/>
        <v/>
      </c>
      <c r="EL26" s="113" t="str">
        <f t="shared" si="94"/>
        <v/>
      </c>
      <c r="EM26" s="113" t="str">
        <f t="shared" si="95"/>
        <v/>
      </c>
      <c r="EN26" s="113" t="str">
        <f t="shared" si="96"/>
        <v/>
      </c>
      <c r="EO26" s="113" t="str">
        <f t="shared" si="97"/>
        <v/>
      </c>
      <c r="EP26" s="113" t="str">
        <f t="shared" si="98"/>
        <v/>
      </c>
      <c r="EQ26" s="113" t="str">
        <f t="shared" si="99"/>
        <v/>
      </c>
      <c r="ER26" s="113" t="str">
        <f t="shared" si="100"/>
        <v/>
      </c>
      <c r="ES26" s="113" t="str">
        <f t="shared" si="101"/>
        <v/>
      </c>
      <c r="ET26" s="660" t="str">
        <f t="shared" si="102"/>
        <v/>
      </c>
      <c r="EU26" s="660" t="str">
        <f t="shared" si="103"/>
        <v/>
      </c>
      <c r="EV26" s="660" t="str">
        <f t="shared" si="104"/>
        <v/>
      </c>
      <c r="EW26" s="660" t="str">
        <f t="shared" si="105"/>
        <v/>
      </c>
      <c r="EX26" s="660" t="str">
        <f t="shared" si="106"/>
        <v/>
      </c>
      <c r="EY26" s="660" t="str">
        <f t="shared" si="107"/>
        <v/>
      </c>
      <c r="EZ26" s="660" t="str">
        <f t="shared" si="108"/>
        <v/>
      </c>
      <c r="FA26" s="660" t="str">
        <f t="shared" si="109"/>
        <v/>
      </c>
      <c r="FB26" s="660" t="str">
        <f t="shared" si="110"/>
        <v/>
      </c>
      <c r="FC26" s="660" t="str">
        <f t="shared" si="111"/>
        <v/>
      </c>
      <c r="FD26" s="660" t="str">
        <f t="shared" si="112"/>
        <v/>
      </c>
      <c r="FE26" s="660" t="str">
        <f t="shared" si="113"/>
        <v/>
      </c>
      <c r="FF26" s="660" t="str">
        <f t="shared" si="114"/>
        <v/>
      </c>
      <c r="FG26" s="660" t="str">
        <f t="shared" si="115"/>
        <v/>
      </c>
      <c r="FH26" s="660" t="str">
        <f t="shared" si="116"/>
        <v/>
      </c>
      <c r="FI26" s="660" t="str">
        <f t="shared" si="117"/>
        <v/>
      </c>
      <c r="FJ26" s="660" t="str">
        <f t="shared" si="118"/>
        <v/>
      </c>
      <c r="FK26" s="660" t="str">
        <f t="shared" si="119"/>
        <v/>
      </c>
      <c r="FL26" s="660" t="str">
        <f t="shared" si="120"/>
        <v/>
      </c>
      <c r="FM26" s="660" t="str">
        <f t="shared" si="121"/>
        <v/>
      </c>
      <c r="FN26" s="660" t="str">
        <f t="shared" si="122"/>
        <v/>
      </c>
      <c r="FO26" s="660" t="str">
        <f t="shared" si="123"/>
        <v/>
      </c>
      <c r="FP26" s="660" t="str">
        <f t="shared" si="124"/>
        <v/>
      </c>
      <c r="FQ26" s="660" t="str">
        <f t="shared" si="125"/>
        <v/>
      </c>
      <c r="FR26" s="660" t="str">
        <f t="shared" si="126"/>
        <v/>
      </c>
      <c r="FS26" s="660" t="str">
        <f t="shared" si="127"/>
        <v/>
      </c>
      <c r="FT26" s="660" t="str">
        <f t="shared" si="128"/>
        <v/>
      </c>
      <c r="FU26" s="660" t="str">
        <f t="shared" si="129"/>
        <v/>
      </c>
      <c r="FV26" s="660" t="str">
        <f t="shared" si="130"/>
        <v/>
      </c>
      <c r="FW26" s="660" t="str">
        <f t="shared" si="131"/>
        <v/>
      </c>
      <c r="FX26" s="660" t="str">
        <f t="shared" si="132"/>
        <v/>
      </c>
      <c r="FY26" s="660" t="str">
        <f t="shared" si="133"/>
        <v/>
      </c>
      <c r="FZ26" s="660" t="str">
        <f t="shared" si="134"/>
        <v/>
      </c>
      <c r="GA26" s="660" t="str">
        <f t="shared" si="135"/>
        <v/>
      </c>
      <c r="GB26" s="660" t="str">
        <f t="shared" si="136"/>
        <v/>
      </c>
      <c r="GC26" s="660" t="str">
        <f t="shared" si="137"/>
        <v/>
      </c>
      <c r="GD26" s="660" t="str">
        <f t="shared" si="138"/>
        <v/>
      </c>
      <c r="GE26" s="660" t="str">
        <f t="shared" si="139"/>
        <v/>
      </c>
      <c r="GF26" s="660" t="str">
        <f t="shared" si="140"/>
        <v/>
      </c>
      <c r="GG26" s="660" t="str">
        <f t="shared" si="141"/>
        <v/>
      </c>
      <c r="GH26" s="660" t="str">
        <f t="shared" si="142"/>
        <v/>
      </c>
      <c r="GI26" s="660" t="str">
        <f t="shared" si="143"/>
        <v/>
      </c>
      <c r="GJ26" s="660" t="str">
        <f t="shared" si="144"/>
        <v/>
      </c>
      <c r="GK26" s="660" t="str">
        <f t="shared" si="145"/>
        <v/>
      </c>
      <c r="GL26" s="660" t="str">
        <f t="shared" si="146"/>
        <v/>
      </c>
      <c r="GM26" s="661" t="str">
        <f t="shared" si="147"/>
        <v/>
      </c>
      <c r="GN26" s="661" t="str">
        <f t="shared" si="148"/>
        <v/>
      </c>
      <c r="GO26" s="661" t="str">
        <f t="shared" si="149"/>
        <v/>
      </c>
      <c r="GP26" s="661" t="str">
        <f t="shared" si="150"/>
        <v/>
      </c>
      <c r="GQ26" s="661" t="str">
        <f t="shared" si="151"/>
        <v/>
      </c>
      <c r="GR26" s="113" t="str">
        <f t="shared" si="152"/>
        <v/>
      </c>
      <c r="GS26" s="113" t="str">
        <f t="shared" si="153"/>
        <v/>
      </c>
      <c r="GT26" s="113" t="str">
        <f t="shared" si="154"/>
        <v/>
      </c>
      <c r="GU26" s="113" t="str">
        <f t="shared" si="155"/>
        <v/>
      </c>
      <c r="GV26" s="113" t="str">
        <f t="shared" si="156"/>
        <v/>
      </c>
      <c r="GW26" s="113" t="str">
        <f t="shared" si="157"/>
        <v/>
      </c>
      <c r="GX26" s="113" t="str">
        <f t="shared" si="158"/>
        <v/>
      </c>
      <c r="GY26" s="113" t="str">
        <f t="shared" si="159"/>
        <v/>
      </c>
      <c r="GZ26" s="113" t="str">
        <f t="shared" si="160"/>
        <v/>
      </c>
      <c r="HA26" s="113" t="str">
        <f t="shared" si="161"/>
        <v/>
      </c>
      <c r="HB26" s="113" t="str">
        <f t="shared" si="162"/>
        <v/>
      </c>
      <c r="HC26" s="113" t="str">
        <f t="shared" si="163"/>
        <v/>
      </c>
      <c r="HD26" s="113" t="str">
        <f t="shared" si="164"/>
        <v/>
      </c>
      <c r="HE26" s="113" t="str">
        <f t="shared" si="165"/>
        <v/>
      </c>
      <c r="HF26" s="113" t="str">
        <f t="shared" si="166"/>
        <v/>
      </c>
      <c r="HG26" s="113" t="str">
        <f t="shared" si="167"/>
        <v/>
      </c>
      <c r="HH26" s="113" t="str">
        <f t="shared" si="168"/>
        <v/>
      </c>
      <c r="HI26" s="113" t="str">
        <f t="shared" si="169"/>
        <v/>
      </c>
      <c r="HJ26" s="113" t="str">
        <f t="shared" si="170"/>
        <v/>
      </c>
      <c r="HK26" s="113" t="str">
        <f t="shared" si="171"/>
        <v/>
      </c>
    </row>
    <row r="27" spans="1:219" ht="13.2" customHeight="1">
      <c r="A27" s="146" t="str">
        <f t="shared" si="172"/>
        <v/>
      </c>
      <c r="B27" s="836"/>
      <c r="C27" s="837"/>
      <c r="D27" s="838"/>
      <c r="E27" s="839"/>
      <c r="F27" s="839"/>
      <c r="G27" s="839"/>
      <c r="H27" s="839"/>
      <c r="I27" s="839"/>
      <c r="J27" s="840"/>
      <c r="K27" s="227">
        <f t="shared" si="173"/>
        <v>0</v>
      </c>
      <c r="L27" s="227">
        <f t="shared" si="0"/>
        <v>0</v>
      </c>
      <c r="M27" s="841"/>
      <c r="N27" s="841"/>
      <c r="O27" s="841"/>
      <c r="P27" s="581" t="str">
        <f t="shared" si="407"/>
        <v/>
      </c>
      <c r="Q27" s="582" t="str">
        <f>IF(H27="","",P27/($P$6*VLOOKUP(C27,'DCA Underwriting Assumptions'!$J$77:$K$82,2,FALSE)))</f>
        <v/>
      </c>
      <c r="R27" s="739"/>
      <c r="S27" s="659"/>
      <c r="T27" s="113" t="str">
        <f t="shared" si="2"/>
        <v/>
      </c>
      <c r="U27" s="113" t="str">
        <f t="shared" si="3"/>
        <v/>
      </c>
      <c r="V27" s="113" t="str">
        <f t="shared" si="4"/>
        <v/>
      </c>
      <c r="W27" s="113" t="str">
        <f t="shared" si="5"/>
        <v/>
      </c>
      <c r="X27" s="113" t="str">
        <f t="shared" si="6"/>
        <v/>
      </c>
      <c r="Y27" s="113" t="str">
        <f t="shared" si="7"/>
        <v/>
      </c>
      <c r="Z27" s="113" t="str">
        <f t="shared" si="8"/>
        <v/>
      </c>
      <c r="AA27" s="113" t="str">
        <f t="shared" si="9"/>
        <v/>
      </c>
      <c r="AB27" s="113" t="str">
        <f t="shared" si="10"/>
        <v/>
      </c>
      <c r="AC27" s="113" t="str">
        <f t="shared" si="11"/>
        <v/>
      </c>
      <c r="AD27" s="113" t="str">
        <f t="shared" si="12"/>
        <v/>
      </c>
      <c r="AE27" s="113" t="str">
        <f t="shared" si="13"/>
        <v/>
      </c>
      <c r="AF27" s="113" t="str">
        <f t="shared" si="14"/>
        <v/>
      </c>
      <c r="AG27" s="113" t="str">
        <f t="shared" si="15"/>
        <v/>
      </c>
      <c r="AH27" s="113" t="str">
        <f t="shared" si="16"/>
        <v/>
      </c>
      <c r="AI27" s="113" t="str">
        <f t="shared" si="17"/>
        <v/>
      </c>
      <c r="AJ27" s="113" t="str">
        <f t="shared" si="18"/>
        <v/>
      </c>
      <c r="AK27" s="113" t="str">
        <f t="shared" si="19"/>
        <v/>
      </c>
      <c r="AL27" s="113" t="str">
        <f t="shared" si="20"/>
        <v/>
      </c>
      <c r="AM27" s="113" t="str">
        <f t="shared" si="21"/>
        <v/>
      </c>
      <c r="AN27" s="113" t="str">
        <f t="shared" si="174"/>
        <v/>
      </c>
      <c r="AO27" s="113" t="str">
        <f t="shared" si="175"/>
        <v/>
      </c>
      <c r="AP27" s="113" t="str">
        <f t="shared" si="176"/>
        <v/>
      </c>
      <c r="AQ27" s="113" t="str">
        <f t="shared" si="177"/>
        <v/>
      </c>
      <c r="AR27" s="113" t="str">
        <f t="shared" si="178"/>
        <v/>
      </c>
      <c r="AS27" s="113" t="str">
        <f t="shared" si="179"/>
        <v/>
      </c>
      <c r="AT27" s="113" t="str">
        <f t="shared" si="180"/>
        <v/>
      </c>
      <c r="AU27" s="113" t="str">
        <f t="shared" si="181"/>
        <v/>
      </c>
      <c r="AV27" s="113" t="str">
        <f t="shared" si="182"/>
        <v/>
      </c>
      <c r="AW27" s="113" t="str">
        <f t="shared" si="183"/>
        <v/>
      </c>
      <c r="AX27" s="113" t="str">
        <f t="shared" si="184"/>
        <v/>
      </c>
      <c r="AY27" s="113" t="str">
        <f t="shared" si="185"/>
        <v/>
      </c>
      <c r="AZ27" s="113" t="str">
        <f t="shared" si="186"/>
        <v/>
      </c>
      <c r="BA27" s="113" t="str">
        <f t="shared" si="187"/>
        <v/>
      </c>
      <c r="BB27" s="113" t="str">
        <f t="shared" si="188"/>
        <v/>
      </c>
      <c r="BC27" s="113" t="str">
        <f t="shared" si="189"/>
        <v/>
      </c>
      <c r="BD27" s="113" t="str">
        <f t="shared" si="190"/>
        <v/>
      </c>
      <c r="BE27" s="113" t="str">
        <f t="shared" si="191"/>
        <v/>
      </c>
      <c r="BF27" s="113" t="str">
        <f t="shared" si="192"/>
        <v/>
      </c>
      <c r="BG27" s="113" t="str">
        <f t="shared" si="193"/>
        <v/>
      </c>
      <c r="BH27" s="113" t="str">
        <f t="shared" si="194"/>
        <v/>
      </c>
      <c r="BI27" s="113" t="str">
        <f t="shared" si="195"/>
        <v/>
      </c>
      <c r="BJ27" s="113" t="str">
        <f t="shared" si="196"/>
        <v/>
      </c>
      <c r="BK27" s="113" t="str">
        <f t="shared" si="197"/>
        <v/>
      </c>
      <c r="BL27" s="113" t="str">
        <f t="shared" si="198"/>
        <v/>
      </c>
      <c r="BM27" s="113" t="str">
        <f t="shared" si="199"/>
        <v/>
      </c>
      <c r="BN27" s="113" t="str">
        <f t="shared" si="200"/>
        <v/>
      </c>
      <c r="BO27" s="113" t="str">
        <f t="shared" si="201"/>
        <v/>
      </c>
      <c r="BP27" s="113" t="str">
        <f t="shared" si="202"/>
        <v/>
      </c>
      <c r="BQ27" s="113" t="str">
        <f t="shared" si="203"/>
        <v/>
      </c>
      <c r="BR27" s="113" t="str">
        <f t="shared" si="22"/>
        <v/>
      </c>
      <c r="BS27" s="113" t="str">
        <f t="shared" si="23"/>
        <v/>
      </c>
      <c r="BT27" s="113" t="str">
        <f t="shared" si="24"/>
        <v/>
      </c>
      <c r="BU27" s="113" t="str">
        <f t="shared" si="25"/>
        <v/>
      </c>
      <c r="BV27" s="113" t="str">
        <f t="shared" si="26"/>
        <v/>
      </c>
      <c r="BW27" s="113" t="str">
        <f t="shared" si="27"/>
        <v/>
      </c>
      <c r="BX27" s="113" t="str">
        <f t="shared" si="28"/>
        <v/>
      </c>
      <c r="BY27" s="113" t="str">
        <f t="shared" si="29"/>
        <v/>
      </c>
      <c r="BZ27" s="113" t="str">
        <f t="shared" si="30"/>
        <v/>
      </c>
      <c r="CA27" s="113" t="str">
        <f t="shared" si="31"/>
        <v/>
      </c>
      <c r="CB27" s="113" t="str">
        <f t="shared" si="32"/>
        <v/>
      </c>
      <c r="CC27" s="113" t="str">
        <f t="shared" si="33"/>
        <v/>
      </c>
      <c r="CD27" s="113" t="str">
        <f t="shared" si="34"/>
        <v/>
      </c>
      <c r="CE27" s="113" t="str">
        <f t="shared" si="35"/>
        <v/>
      </c>
      <c r="CF27" s="113" t="str">
        <f t="shared" si="36"/>
        <v/>
      </c>
      <c r="CG27" s="113" t="str">
        <f t="shared" si="37"/>
        <v/>
      </c>
      <c r="CH27" s="113" t="str">
        <f t="shared" si="38"/>
        <v/>
      </c>
      <c r="CI27" s="113" t="str">
        <f t="shared" si="39"/>
        <v/>
      </c>
      <c r="CJ27" s="113" t="str">
        <f t="shared" si="40"/>
        <v/>
      </c>
      <c r="CK27" s="113" t="str">
        <f t="shared" si="41"/>
        <v/>
      </c>
      <c r="CL27" s="113" t="str">
        <f t="shared" si="42"/>
        <v/>
      </c>
      <c r="CM27" s="113" t="str">
        <f t="shared" si="43"/>
        <v/>
      </c>
      <c r="CN27" s="113" t="str">
        <f t="shared" si="44"/>
        <v/>
      </c>
      <c r="CO27" s="113" t="str">
        <f t="shared" si="45"/>
        <v/>
      </c>
      <c r="CP27" s="113" t="str">
        <f t="shared" si="46"/>
        <v/>
      </c>
      <c r="CQ27" s="113" t="str">
        <f t="shared" si="47"/>
        <v/>
      </c>
      <c r="CR27" s="113" t="str">
        <f t="shared" si="48"/>
        <v/>
      </c>
      <c r="CS27" s="113" t="str">
        <f t="shared" si="49"/>
        <v/>
      </c>
      <c r="CT27" s="113" t="str">
        <f t="shared" si="50"/>
        <v/>
      </c>
      <c r="CU27" s="113" t="str">
        <f t="shared" si="51"/>
        <v/>
      </c>
      <c r="CV27" s="113" t="str">
        <f t="shared" si="52"/>
        <v/>
      </c>
      <c r="CW27" s="113" t="str">
        <f t="shared" si="53"/>
        <v/>
      </c>
      <c r="CX27" s="113" t="str">
        <f t="shared" si="54"/>
        <v/>
      </c>
      <c r="CY27" s="113" t="str">
        <f t="shared" si="55"/>
        <v/>
      </c>
      <c r="CZ27" s="113" t="str">
        <f t="shared" si="56"/>
        <v/>
      </c>
      <c r="DA27" s="113" t="str">
        <f t="shared" si="57"/>
        <v/>
      </c>
      <c r="DB27" s="113" t="str">
        <f t="shared" si="58"/>
        <v/>
      </c>
      <c r="DC27" s="113" t="str">
        <f t="shared" si="59"/>
        <v/>
      </c>
      <c r="DD27" s="113" t="str">
        <f t="shared" si="60"/>
        <v/>
      </c>
      <c r="DE27" s="113" t="str">
        <f t="shared" si="61"/>
        <v/>
      </c>
      <c r="DF27" s="113" t="str">
        <f t="shared" si="62"/>
        <v/>
      </c>
      <c r="DG27" s="113" t="str">
        <f t="shared" si="63"/>
        <v/>
      </c>
      <c r="DH27" s="113" t="str">
        <f t="shared" si="64"/>
        <v/>
      </c>
      <c r="DI27" s="113" t="str">
        <f t="shared" si="65"/>
        <v/>
      </c>
      <c r="DJ27" s="113" t="str">
        <f t="shared" si="66"/>
        <v/>
      </c>
      <c r="DK27" s="113" t="str">
        <f t="shared" si="67"/>
        <v/>
      </c>
      <c r="DL27" s="113" t="str">
        <f t="shared" si="68"/>
        <v/>
      </c>
      <c r="DM27" s="113" t="str">
        <f t="shared" si="69"/>
        <v/>
      </c>
      <c r="DN27" s="113" t="str">
        <f t="shared" si="70"/>
        <v/>
      </c>
      <c r="DO27" s="113" t="str">
        <f t="shared" si="71"/>
        <v/>
      </c>
      <c r="DP27" s="113" t="str">
        <f t="shared" si="72"/>
        <v/>
      </c>
      <c r="DQ27" s="113" t="str">
        <f t="shared" si="73"/>
        <v/>
      </c>
      <c r="DR27" s="113" t="str">
        <f t="shared" si="74"/>
        <v/>
      </c>
      <c r="DS27" s="113" t="str">
        <f t="shared" si="75"/>
        <v/>
      </c>
      <c r="DT27" s="113" t="str">
        <f t="shared" si="76"/>
        <v/>
      </c>
      <c r="DU27" s="113" t="str">
        <f t="shared" si="77"/>
        <v/>
      </c>
      <c r="DV27" s="113" t="str">
        <f t="shared" si="78"/>
        <v/>
      </c>
      <c r="DW27" s="113" t="str">
        <f t="shared" si="79"/>
        <v/>
      </c>
      <c r="DX27" s="113" t="str">
        <f t="shared" si="80"/>
        <v/>
      </c>
      <c r="DY27" s="113" t="str">
        <f t="shared" si="81"/>
        <v/>
      </c>
      <c r="DZ27" s="113" t="str">
        <f t="shared" si="82"/>
        <v/>
      </c>
      <c r="EA27" s="113" t="str">
        <f t="shared" si="83"/>
        <v/>
      </c>
      <c r="EB27" s="113" t="str">
        <f t="shared" si="84"/>
        <v/>
      </c>
      <c r="EC27" s="113" t="str">
        <f t="shared" si="85"/>
        <v/>
      </c>
      <c r="ED27" s="113" t="str">
        <f t="shared" si="86"/>
        <v/>
      </c>
      <c r="EE27" s="113" t="str">
        <f t="shared" si="87"/>
        <v/>
      </c>
      <c r="EF27" s="113" t="str">
        <f t="shared" si="88"/>
        <v/>
      </c>
      <c r="EG27" s="113" t="str">
        <f t="shared" si="89"/>
        <v/>
      </c>
      <c r="EH27" s="113" t="str">
        <f t="shared" si="90"/>
        <v/>
      </c>
      <c r="EI27" s="113" t="str">
        <f t="shared" si="91"/>
        <v/>
      </c>
      <c r="EJ27" s="113" t="str">
        <f t="shared" si="92"/>
        <v/>
      </c>
      <c r="EK27" s="113" t="str">
        <f t="shared" si="93"/>
        <v/>
      </c>
      <c r="EL27" s="113" t="str">
        <f t="shared" si="94"/>
        <v/>
      </c>
      <c r="EM27" s="113" t="str">
        <f t="shared" si="95"/>
        <v/>
      </c>
      <c r="EN27" s="113" t="str">
        <f t="shared" si="96"/>
        <v/>
      </c>
      <c r="EO27" s="113" t="str">
        <f t="shared" si="97"/>
        <v/>
      </c>
      <c r="EP27" s="113" t="str">
        <f t="shared" si="98"/>
        <v/>
      </c>
      <c r="EQ27" s="113" t="str">
        <f t="shared" si="99"/>
        <v/>
      </c>
      <c r="ER27" s="113" t="str">
        <f t="shared" si="100"/>
        <v/>
      </c>
      <c r="ES27" s="113" t="str">
        <f t="shared" si="101"/>
        <v/>
      </c>
      <c r="ET27" s="660" t="str">
        <f t="shared" si="102"/>
        <v/>
      </c>
      <c r="EU27" s="660" t="str">
        <f t="shared" si="103"/>
        <v/>
      </c>
      <c r="EV27" s="660" t="str">
        <f t="shared" si="104"/>
        <v/>
      </c>
      <c r="EW27" s="660" t="str">
        <f t="shared" si="105"/>
        <v/>
      </c>
      <c r="EX27" s="660" t="str">
        <f t="shared" si="106"/>
        <v/>
      </c>
      <c r="EY27" s="660" t="str">
        <f t="shared" si="107"/>
        <v/>
      </c>
      <c r="EZ27" s="660" t="str">
        <f t="shared" si="108"/>
        <v/>
      </c>
      <c r="FA27" s="660" t="str">
        <f t="shared" si="109"/>
        <v/>
      </c>
      <c r="FB27" s="660" t="str">
        <f t="shared" si="110"/>
        <v/>
      </c>
      <c r="FC27" s="660" t="str">
        <f t="shared" si="111"/>
        <v/>
      </c>
      <c r="FD27" s="660" t="str">
        <f t="shared" si="112"/>
        <v/>
      </c>
      <c r="FE27" s="660" t="str">
        <f t="shared" si="113"/>
        <v/>
      </c>
      <c r="FF27" s="660" t="str">
        <f t="shared" si="114"/>
        <v/>
      </c>
      <c r="FG27" s="660" t="str">
        <f t="shared" si="115"/>
        <v/>
      </c>
      <c r="FH27" s="660" t="str">
        <f t="shared" si="116"/>
        <v/>
      </c>
      <c r="FI27" s="660" t="str">
        <f t="shared" si="117"/>
        <v/>
      </c>
      <c r="FJ27" s="660" t="str">
        <f t="shared" si="118"/>
        <v/>
      </c>
      <c r="FK27" s="660" t="str">
        <f t="shared" si="119"/>
        <v/>
      </c>
      <c r="FL27" s="660" t="str">
        <f t="shared" si="120"/>
        <v/>
      </c>
      <c r="FM27" s="660" t="str">
        <f t="shared" si="121"/>
        <v/>
      </c>
      <c r="FN27" s="660" t="str">
        <f t="shared" si="122"/>
        <v/>
      </c>
      <c r="FO27" s="660" t="str">
        <f t="shared" si="123"/>
        <v/>
      </c>
      <c r="FP27" s="660" t="str">
        <f t="shared" si="124"/>
        <v/>
      </c>
      <c r="FQ27" s="660" t="str">
        <f t="shared" si="125"/>
        <v/>
      </c>
      <c r="FR27" s="660" t="str">
        <f t="shared" si="126"/>
        <v/>
      </c>
      <c r="FS27" s="660" t="str">
        <f t="shared" si="127"/>
        <v/>
      </c>
      <c r="FT27" s="660" t="str">
        <f t="shared" si="128"/>
        <v/>
      </c>
      <c r="FU27" s="660" t="str">
        <f t="shared" si="129"/>
        <v/>
      </c>
      <c r="FV27" s="660" t="str">
        <f t="shared" si="130"/>
        <v/>
      </c>
      <c r="FW27" s="660" t="str">
        <f t="shared" si="131"/>
        <v/>
      </c>
      <c r="FX27" s="660" t="str">
        <f t="shared" si="132"/>
        <v/>
      </c>
      <c r="FY27" s="660" t="str">
        <f t="shared" si="133"/>
        <v/>
      </c>
      <c r="FZ27" s="660" t="str">
        <f t="shared" si="134"/>
        <v/>
      </c>
      <c r="GA27" s="660" t="str">
        <f t="shared" si="135"/>
        <v/>
      </c>
      <c r="GB27" s="660" t="str">
        <f t="shared" si="136"/>
        <v/>
      </c>
      <c r="GC27" s="660" t="str">
        <f t="shared" si="137"/>
        <v/>
      </c>
      <c r="GD27" s="660" t="str">
        <f t="shared" si="138"/>
        <v/>
      </c>
      <c r="GE27" s="660" t="str">
        <f t="shared" si="139"/>
        <v/>
      </c>
      <c r="GF27" s="660" t="str">
        <f t="shared" si="140"/>
        <v/>
      </c>
      <c r="GG27" s="660" t="str">
        <f t="shared" si="141"/>
        <v/>
      </c>
      <c r="GH27" s="660" t="str">
        <f t="shared" si="142"/>
        <v/>
      </c>
      <c r="GI27" s="660" t="str">
        <f t="shared" si="143"/>
        <v/>
      </c>
      <c r="GJ27" s="660" t="str">
        <f t="shared" si="144"/>
        <v/>
      </c>
      <c r="GK27" s="660" t="str">
        <f t="shared" si="145"/>
        <v/>
      </c>
      <c r="GL27" s="660" t="str">
        <f t="shared" si="146"/>
        <v/>
      </c>
      <c r="GM27" s="661" t="str">
        <f t="shared" si="147"/>
        <v/>
      </c>
      <c r="GN27" s="661" t="str">
        <f t="shared" si="148"/>
        <v/>
      </c>
      <c r="GO27" s="661" t="str">
        <f t="shared" si="149"/>
        <v/>
      </c>
      <c r="GP27" s="661" t="str">
        <f t="shared" si="150"/>
        <v/>
      </c>
      <c r="GQ27" s="661" t="str">
        <f t="shared" si="151"/>
        <v/>
      </c>
      <c r="GR27" s="113" t="str">
        <f t="shared" si="152"/>
        <v/>
      </c>
      <c r="GS27" s="113" t="str">
        <f t="shared" si="153"/>
        <v/>
      </c>
      <c r="GT27" s="113" t="str">
        <f t="shared" si="154"/>
        <v/>
      </c>
      <c r="GU27" s="113" t="str">
        <f t="shared" si="155"/>
        <v/>
      </c>
      <c r="GV27" s="113" t="str">
        <f t="shared" si="156"/>
        <v/>
      </c>
      <c r="GW27" s="113" t="str">
        <f t="shared" si="157"/>
        <v/>
      </c>
      <c r="GX27" s="113" t="str">
        <f t="shared" si="158"/>
        <v/>
      </c>
      <c r="GY27" s="113" t="str">
        <f t="shared" si="159"/>
        <v/>
      </c>
      <c r="GZ27" s="113" t="str">
        <f t="shared" si="160"/>
        <v/>
      </c>
      <c r="HA27" s="113" t="str">
        <f t="shared" si="161"/>
        <v/>
      </c>
      <c r="HB27" s="113" t="str">
        <f t="shared" si="162"/>
        <v/>
      </c>
      <c r="HC27" s="113" t="str">
        <f t="shared" si="163"/>
        <v/>
      </c>
      <c r="HD27" s="113" t="str">
        <f t="shared" si="164"/>
        <v/>
      </c>
      <c r="HE27" s="113" t="str">
        <f t="shared" si="165"/>
        <v/>
      </c>
      <c r="HF27" s="113" t="str">
        <f t="shared" si="166"/>
        <v/>
      </c>
      <c r="HG27" s="113" t="str">
        <f t="shared" si="167"/>
        <v/>
      </c>
      <c r="HH27" s="113" t="str">
        <f t="shared" si="168"/>
        <v/>
      </c>
      <c r="HI27" s="113" t="str">
        <f t="shared" si="169"/>
        <v/>
      </c>
      <c r="HJ27" s="113" t="str">
        <f t="shared" si="170"/>
        <v/>
      </c>
      <c r="HK27" s="113" t="str">
        <f t="shared" si="171"/>
        <v/>
      </c>
    </row>
    <row r="28" spans="1:219" ht="13.2" customHeight="1">
      <c r="A28" s="146" t="str">
        <f t="shared" si="172"/>
        <v/>
      </c>
      <c r="B28" s="836"/>
      <c r="C28" s="837"/>
      <c r="D28" s="838"/>
      <c r="E28" s="839"/>
      <c r="F28" s="839"/>
      <c r="G28" s="839"/>
      <c r="H28" s="839"/>
      <c r="I28" s="839"/>
      <c r="J28" s="840"/>
      <c r="K28" s="227">
        <f>MAX(0,H28-I28)</f>
        <v>0</v>
      </c>
      <c r="L28" s="227">
        <f t="shared" si="0"/>
        <v>0</v>
      </c>
      <c r="M28" s="841"/>
      <c r="N28" s="841"/>
      <c r="O28" s="841"/>
      <c r="P28" s="581" t="str">
        <f t="shared" si="407"/>
        <v/>
      </c>
      <c r="Q28" s="582" t="str">
        <f>IF(H28="","",P28/($P$6*VLOOKUP(C28,'DCA Underwriting Assumptions'!$J$77:$K$82,2,FALSE)))</f>
        <v/>
      </c>
      <c r="R28" s="739"/>
      <c r="S28" s="659"/>
      <c r="T28" s="113" t="str">
        <f t="shared" si="2"/>
        <v/>
      </c>
      <c r="U28" s="113" t="str">
        <f t="shared" si="3"/>
        <v/>
      </c>
      <c r="V28" s="113" t="str">
        <f t="shared" si="4"/>
        <v/>
      </c>
      <c r="W28" s="113" t="str">
        <f t="shared" si="5"/>
        <v/>
      </c>
      <c r="X28" s="113" t="str">
        <f t="shared" si="6"/>
        <v/>
      </c>
      <c r="Y28" s="113" t="str">
        <f t="shared" si="7"/>
        <v/>
      </c>
      <c r="Z28" s="113" t="str">
        <f t="shared" si="8"/>
        <v/>
      </c>
      <c r="AA28" s="113" t="str">
        <f t="shared" si="9"/>
        <v/>
      </c>
      <c r="AB28" s="113" t="str">
        <f t="shared" si="10"/>
        <v/>
      </c>
      <c r="AC28" s="113" t="str">
        <f t="shared" si="11"/>
        <v/>
      </c>
      <c r="AD28" s="113" t="str">
        <f t="shared" si="12"/>
        <v/>
      </c>
      <c r="AE28" s="113" t="str">
        <f t="shared" si="13"/>
        <v/>
      </c>
      <c r="AF28" s="113" t="str">
        <f t="shared" si="14"/>
        <v/>
      </c>
      <c r="AG28" s="113" t="str">
        <f t="shared" si="15"/>
        <v/>
      </c>
      <c r="AH28" s="113" t="str">
        <f t="shared" si="16"/>
        <v/>
      </c>
      <c r="AI28" s="113" t="str">
        <f t="shared" si="17"/>
        <v/>
      </c>
      <c r="AJ28" s="113" t="str">
        <f t="shared" si="18"/>
        <v/>
      </c>
      <c r="AK28" s="113" t="str">
        <f t="shared" si="19"/>
        <v/>
      </c>
      <c r="AL28" s="113" t="str">
        <f t="shared" si="20"/>
        <v/>
      </c>
      <c r="AM28" s="113" t="str">
        <f t="shared" si="21"/>
        <v/>
      </c>
      <c r="AN28" s="113" t="str">
        <f t="shared" si="174"/>
        <v/>
      </c>
      <c r="AO28" s="113" t="str">
        <f t="shared" si="175"/>
        <v/>
      </c>
      <c r="AP28" s="113" t="str">
        <f t="shared" si="176"/>
        <v/>
      </c>
      <c r="AQ28" s="113" t="str">
        <f t="shared" si="177"/>
        <v/>
      </c>
      <c r="AR28" s="113" t="str">
        <f t="shared" si="178"/>
        <v/>
      </c>
      <c r="AS28" s="113" t="str">
        <f t="shared" si="179"/>
        <v/>
      </c>
      <c r="AT28" s="113" t="str">
        <f t="shared" si="180"/>
        <v/>
      </c>
      <c r="AU28" s="113" t="str">
        <f t="shared" si="181"/>
        <v/>
      </c>
      <c r="AV28" s="113" t="str">
        <f t="shared" si="182"/>
        <v/>
      </c>
      <c r="AW28" s="113" t="str">
        <f t="shared" si="183"/>
        <v/>
      </c>
      <c r="AX28" s="113" t="str">
        <f t="shared" si="184"/>
        <v/>
      </c>
      <c r="AY28" s="113" t="str">
        <f t="shared" si="185"/>
        <v/>
      </c>
      <c r="AZ28" s="113" t="str">
        <f t="shared" si="186"/>
        <v/>
      </c>
      <c r="BA28" s="113" t="str">
        <f t="shared" si="187"/>
        <v/>
      </c>
      <c r="BB28" s="113" t="str">
        <f t="shared" si="188"/>
        <v/>
      </c>
      <c r="BC28" s="113" t="str">
        <f t="shared" si="189"/>
        <v/>
      </c>
      <c r="BD28" s="113" t="str">
        <f t="shared" si="190"/>
        <v/>
      </c>
      <c r="BE28" s="113" t="str">
        <f t="shared" si="191"/>
        <v/>
      </c>
      <c r="BF28" s="113" t="str">
        <f t="shared" si="192"/>
        <v/>
      </c>
      <c r="BG28" s="113" t="str">
        <f t="shared" si="193"/>
        <v/>
      </c>
      <c r="BH28" s="113" t="str">
        <f t="shared" si="194"/>
        <v/>
      </c>
      <c r="BI28" s="113" t="str">
        <f t="shared" si="195"/>
        <v/>
      </c>
      <c r="BJ28" s="113" t="str">
        <f t="shared" si="196"/>
        <v/>
      </c>
      <c r="BK28" s="113" t="str">
        <f t="shared" si="197"/>
        <v/>
      </c>
      <c r="BL28" s="113" t="str">
        <f t="shared" si="198"/>
        <v/>
      </c>
      <c r="BM28" s="113" t="str">
        <f t="shared" si="199"/>
        <v/>
      </c>
      <c r="BN28" s="113" t="str">
        <f t="shared" si="200"/>
        <v/>
      </c>
      <c r="BO28" s="113" t="str">
        <f t="shared" si="201"/>
        <v/>
      </c>
      <c r="BP28" s="113" t="str">
        <f t="shared" si="202"/>
        <v/>
      </c>
      <c r="BQ28" s="113" t="str">
        <f t="shared" si="203"/>
        <v/>
      </c>
      <c r="BR28" s="113" t="str">
        <f t="shared" si="22"/>
        <v/>
      </c>
      <c r="BS28" s="113" t="str">
        <f t="shared" si="23"/>
        <v/>
      </c>
      <c r="BT28" s="113" t="str">
        <f t="shared" si="24"/>
        <v/>
      </c>
      <c r="BU28" s="113" t="str">
        <f t="shared" si="25"/>
        <v/>
      </c>
      <c r="BV28" s="113" t="str">
        <f t="shared" si="26"/>
        <v/>
      </c>
      <c r="BW28" s="113" t="str">
        <f t="shared" si="27"/>
        <v/>
      </c>
      <c r="BX28" s="113" t="str">
        <f t="shared" si="28"/>
        <v/>
      </c>
      <c r="BY28" s="113" t="str">
        <f t="shared" si="29"/>
        <v/>
      </c>
      <c r="BZ28" s="113" t="str">
        <f t="shared" si="30"/>
        <v/>
      </c>
      <c r="CA28" s="113" t="str">
        <f t="shared" si="31"/>
        <v/>
      </c>
      <c r="CB28" s="113" t="str">
        <f t="shared" si="32"/>
        <v/>
      </c>
      <c r="CC28" s="113" t="str">
        <f t="shared" si="33"/>
        <v/>
      </c>
      <c r="CD28" s="113" t="str">
        <f t="shared" si="34"/>
        <v/>
      </c>
      <c r="CE28" s="113" t="str">
        <f t="shared" si="35"/>
        <v/>
      </c>
      <c r="CF28" s="113" t="str">
        <f t="shared" si="36"/>
        <v/>
      </c>
      <c r="CG28" s="113" t="str">
        <f t="shared" si="37"/>
        <v/>
      </c>
      <c r="CH28" s="113" t="str">
        <f t="shared" si="38"/>
        <v/>
      </c>
      <c r="CI28" s="113" t="str">
        <f t="shared" si="39"/>
        <v/>
      </c>
      <c r="CJ28" s="113" t="str">
        <f t="shared" si="40"/>
        <v/>
      </c>
      <c r="CK28" s="113" t="str">
        <f t="shared" si="41"/>
        <v/>
      </c>
      <c r="CL28" s="113" t="str">
        <f t="shared" si="42"/>
        <v/>
      </c>
      <c r="CM28" s="113" t="str">
        <f t="shared" si="43"/>
        <v/>
      </c>
      <c r="CN28" s="113" t="str">
        <f t="shared" si="44"/>
        <v/>
      </c>
      <c r="CO28" s="113" t="str">
        <f t="shared" si="45"/>
        <v/>
      </c>
      <c r="CP28" s="113" t="str">
        <f t="shared" si="46"/>
        <v/>
      </c>
      <c r="CQ28" s="113" t="str">
        <f t="shared" si="47"/>
        <v/>
      </c>
      <c r="CR28" s="113" t="str">
        <f t="shared" si="48"/>
        <v/>
      </c>
      <c r="CS28" s="113" t="str">
        <f t="shared" si="49"/>
        <v/>
      </c>
      <c r="CT28" s="113" t="str">
        <f t="shared" si="50"/>
        <v/>
      </c>
      <c r="CU28" s="113" t="str">
        <f t="shared" si="51"/>
        <v/>
      </c>
      <c r="CV28" s="113" t="str">
        <f t="shared" si="52"/>
        <v/>
      </c>
      <c r="CW28" s="113" t="str">
        <f t="shared" si="53"/>
        <v/>
      </c>
      <c r="CX28" s="113" t="str">
        <f t="shared" si="54"/>
        <v/>
      </c>
      <c r="CY28" s="113" t="str">
        <f t="shared" si="55"/>
        <v/>
      </c>
      <c r="CZ28" s="113" t="str">
        <f t="shared" si="56"/>
        <v/>
      </c>
      <c r="DA28" s="113" t="str">
        <f t="shared" si="57"/>
        <v/>
      </c>
      <c r="DB28" s="113" t="str">
        <f t="shared" si="58"/>
        <v/>
      </c>
      <c r="DC28" s="113" t="str">
        <f t="shared" si="59"/>
        <v/>
      </c>
      <c r="DD28" s="113" t="str">
        <f t="shared" si="60"/>
        <v/>
      </c>
      <c r="DE28" s="113" t="str">
        <f t="shared" si="61"/>
        <v/>
      </c>
      <c r="DF28" s="113" t="str">
        <f t="shared" si="62"/>
        <v/>
      </c>
      <c r="DG28" s="113" t="str">
        <f t="shared" si="63"/>
        <v/>
      </c>
      <c r="DH28" s="113" t="str">
        <f t="shared" si="64"/>
        <v/>
      </c>
      <c r="DI28" s="113" t="str">
        <f t="shared" si="65"/>
        <v/>
      </c>
      <c r="DJ28" s="113" t="str">
        <f t="shared" si="66"/>
        <v/>
      </c>
      <c r="DK28" s="113" t="str">
        <f t="shared" si="67"/>
        <v/>
      </c>
      <c r="DL28" s="113" t="str">
        <f t="shared" si="68"/>
        <v/>
      </c>
      <c r="DM28" s="113" t="str">
        <f t="shared" si="69"/>
        <v/>
      </c>
      <c r="DN28" s="113" t="str">
        <f t="shared" si="70"/>
        <v/>
      </c>
      <c r="DO28" s="113" t="str">
        <f t="shared" si="71"/>
        <v/>
      </c>
      <c r="DP28" s="113" t="str">
        <f t="shared" si="72"/>
        <v/>
      </c>
      <c r="DQ28" s="113" t="str">
        <f t="shared" si="73"/>
        <v/>
      </c>
      <c r="DR28" s="113" t="str">
        <f t="shared" si="74"/>
        <v/>
      </c>
      <c r="DS28" s="113" t="str">
        <f t="shared" si="75"/>
        <v/>
      </c>
      <c r="DT28" s="113" t="str">
        <f t="shared" si="76"/>
        <v/>
      </c>
      <c r="DU28" s="113" t="str">
        <f t="shared" si="77"/>
        <v/>
      </c>
      <c r="DV28" s="113" t="str">
        <f t="shared" si="78"/>
        <v/>
      </c>
      <c r="DW28" s="113" t="str">
        <f t="shared" si="79"/>
        <v/>
      </c>
      <c r="DX28" s="113" t="str">
        <f t="shared" si="80"/>
        <v/>
      </c>
      <c r="DY28" s="113" t="str">
        <f t="shared" si="81"/>
        <v/>
      </c>
      <c r="DZ28" s="113" t="str">
        <f t="shared" si="82"/>
        <v/>
      </c>
      <c r="EA28" s="113" t="str">
        <f t="shared" si="83"/>
        <v/>
      </c>
      <c r="EB28" s="113" t="str">
        <f t="shared" si="84"/>
        <v/>
      </c>
      <c r="EC28" s="113" t="str">
        <f t="shared" si="85"/>
        <v/>
      </c>
      <c r="ED28" s="113" t="str">
        <f t="shared" si="86"/>
        <v/>
      </c>
      <c r="EE28" s="113" t="str">
        <f t="shared" si="87"/>
        <v/>
      </c>
      <c r="EF28" s="113" t="str">
        <f t="shared" si="88"/>
        <v/>
      </c>
      <c r="EG28" s="113" t="str">
        <f t="shared" si="89"/>
        <v/>
      </c>
      <c r="EH28" s="113" t="str">
        <f t="shared" si="90"/>
        <v/>
      </c>
      <c r="EI28" s="113" t="str">
        <f t="shared" si="91"/>
        <v/>
      </c>
      <c r="EJ28" s="113" t="str">
        <f t="shared" si="92"/>
        <v/>
      </c>
      <c r="EK28" s="113" t="str">
        <f t="shared" si="93"/>
        <v/>
      </c>
      <c r="EL28" s="113" t="str">
        <f t="shared" si="94"/>
        <v/>
      </c>
      <c r="EM28" s="113" t="str">
        <f t="shared" si="95"/>
        <v/>
      </c>
      <c r="EN28" s="113" t="str">
        <f t="shared" si="96"/>
        <v/>
      </c>
      <c r="EO28" s="113" t="str">
        <f t="shared" si="97"/>
        <v/>
      </c>
      <c r="EP28" s="113" t="str">
        <f t="shared" si="98"/>
        <v/>
      </c>
      <c r="EQ28" s="113" t="str">
        <f t="shared" si="99"/>
        <v/>
      </c>
      <c r="ER28" s="113" t="str">
        <f t="shared" si="100"/>
        <v/>
      </c>
      <c r="ES28" s="113" t="str">
        <f t="shared" si="101"/>
        <v/>
      </c>
      <c r="ET28" s="660" t="str">
        <f t="shared" si="102"/>
        <v/>
      </c>
      <c r="EU28" s="660" t="str">
        <f t="shared" si="103"/>
        <v/>
      </c>
      <c r="EV28" s="660" t="str">
        <f t="shared" si="104"/>
        <v/>
      </c>
      <c r="EW28" s="660" t="str">
        <f t="shared" si="105"/>
        <v/>
      </c>
      <c r="EX28" s="660" t="str">
        <f t="shared" si="106"/>
        <v/>
      </c>
      <c r="EY28" s="660" t="str">
        <f t="shared" si="107"/>
        <v/>
      </c>
      <c r="EZ28" s="660" t="str">
        <f t="shared" si="108"/>
        <v/>
      </c>
      <c r="FA28" s="660" t="str">
        <f t="shared" si="109"/>
        <v/>
      </c>
      <c r="FB28" s="660" t="str">
        <f t="shared" si="110"/>
        <v/>
      </c>
      <c r="FC28" s="660" t="str">
        <f t="shared" si="111"/>
        <v/>
      </c>
      <c r="FD28" s="660" t="str">
        <f t="shared" si="112"/>
        <v/>
      </c>
      <c r="FE28" s="660" t="str">
        <f t="shared" si="113"/>
        <v/>
      </c>
      <c r="FF28" s="660" t="str">
        <f t="shared" si="114"/>
        <v/>
      </c>
      <c r="FG28" s="660" t="str">
        <f t="shared" si="115"/>
        <v/>
      </c>
      <c r="FH28" s="660" t="str">
        <f t="shared" si="116"/>
        <v/>
      </c>
      <c r="FI28" s="660" t="str">
        <f t="shared" si="117"/>
        <v/>
      </c>
      <c r="FJ28" s="660" t="str">
        <f t="shared" si="118"/>
        <v/>
      </c>
      <c r="FK28" s="660" t="str">
        <f t="shared" si="119"/>
        <v/>
      </c>
      <c r="FL28" s="660" t="str">
        <f t="shared" si="120"/>
        <v/>
      </c>
      <c r="FM28" s="660" t="str">
        <f t="shared" si="121"/>
        <v/>
      </c>
      <c r="FN28" s="660" t="str">
        <f t="shared" si="122"/>
        <v/>
      </c>
      <c r="FO28" s="660" t="str">
        <f t="shared" si="123"/>
        <v/>
      </c>
      <c r="FP28" s="660" t="str">
        <f t="shared" si="124"/>
        <v/>
      </c>
      <c r="FQ28" s="660" t="str">
        <f t="shared" si="125"/>
        <v/>
      </c>
      <c r="FR28" s="660" t="str">
        <f t="shared" si="126"/>
        <v/>
      </c>
      <c r="FS28" s="660" t="str">
        <f t="shared" si="127"/>
        <v/>
      </c>
      <c r="FT28" s="660" t="str">
        <f t="shared" si="128"/>
        <v/>
      </c>
      <c r="FU28" s="660" t="str">
        <f t="shared" si="129"/>
        <v/>
      </c>
      <c r="FV28" s="660" t="str">
        <f t="shared" si="130"/>
        <v/>
      </c>
      <c r="FW28" s="660" t="str">
        <f t="shared" si="131"/>
        <v/>
      </c>
      <c r="FX28" s="660" t="str">
        <f t="shared" si="132"/>
        <v/>
      </c>
      <c r="FY28" s="660" t="str">
        <f t="shared" si="133"/>
        <v/>
      </c>
      <c r="FZ28" s="660" t="str">
        <f t="shared" si="134"/>
        <v/>
      </c>
      <c r="GA28" s="660" t="str">
        <f t="shared" si="135"/>
        <v/>
      </c>
      <c r="GB28" s="660" t="str">
        <f t="shared" si="136"/>
        <v/>
      </c>
      <c r="GC28" s="660" t="str">
        <f t="shared" si="137"/>
        <v/>
      </c>
      <c r="GD28" s="660" t="str">
        <f t="shared" si="138"/>
        <v/>
      </c>
      <c r="GE28" s="660" t="str">
        <f t="shared" si="139"/>
        <v/>
      </c>
      <c r="GF28" s="660" t="str">
        <f t="shared" si="140"/>
        <v/>
      </c>
      <c r="GG28" s="660" t="str">
        <f t="shared" si="141"/>
        <v/>
      </c>
      <c r="GH28" s="660" t="str">
        <f t="shared" si="142"/>
        <v/>
      </c>
      <c r="GI28" s="660" t="str">
        <f t="shared" si="143"/>
        <v/>
      </c>
      <c r="GJ28" s="660" t="str">
        <f t="shared" si="144"/>
        <v/>
      </c>
      <c r="GK28" s="660" t="str">
        <f t="shared" si="145"/>
        <v/>
      </c>
      <c r="GL28" s="660" t="str">
        <f t="shared" si="146"/>
        <v/>
      </c>
      <c r="GM28" s="661" t="str">
        <f t="shared" si="147"/>
        <v/>
      </c>
      <c r="GN28" s="661" t="str">
        <f t="shared" si="148"/>
        <v/>
      </c>
      <c r="GO28" s="661" t="str">
        <f t="shared" si="149"/>
        <v/>
      </c>
      <c r="GP28" s="661" t="str">
        <f t="shared" si="150"/>
        <v/>
      </c>
      <c r="GQ28" s="661" t="str">
        <f t="shared" si="151"/>
        <v/>
      </c>
      <c r="GR28" s="113" t="str">
        <f t="shared" si="152"/>
        <v/>
      </c>
      <c r="GS28" s="113" t="str">
        <f t="shared" si="153"/>
        <v/>
      </c>
      <c r="GT28" s="113" t="str">
        <f t="shared" si="154"/>
        <v/>
      </c>
      <c r="GU28" s="113" t="str">
        <f t="shared" si="155"/>
        <v/>
      </c>
      <c r="GV28" s="113" t="str">
        <f t="shared" si="156"/>
        <v/>
      </c>
      <c r="GW28" s="113" t="str">
        <f t="shared" si="157"/>
        <v/>
      </c>
      <c r="GX28" s="113" t="str">
        <f t="shared" si="158"/>
        <v/>
      </c>
      <c r="GY28" s="113" t="str">
        <f t="shared" si="159"/>
        <v/>
      </c>
      <c r="GZ28" s="113" t="str">
        <f t="shared" si="160"/>
        <v/>
      </c>
      <c r="HA28" s="113" t="str">
        <f t="shared" si="161"/>
        <v/>
      </c>
      <c r="HB28" s="113" t="str">
        <f t="shared" si="162"/>
        <v/>
      </c>
      <c r="HC28" s="113" t="str">
        <f t="shared" si="163"/>
        <v/>
      </c>
      <c r="HD28" s="113" t="str">
        <f t="shared" si="164"/>
        <v/>
      </c>
      <c r="HE28" s="113" t="str">
        <f t="shared" si="165"/>
        <v/>
      </c>
      <c r="HF28" s="113" t="str">
        <f t="shared" si="166"/>
        <v/>
      </c>
      <c r="HG28" s="113" t="str">
        <f t="shared" si="167"/>
        <v/>
      </c>
      <c r="HH28" s="113" t="str">
        <f t="shared" si="168"/>
        <v/>
      </c>
      <c r="HI28" s="113" t="str">
        <f t="shared" si="169"/>
        <v/>
      </c>
      <c r="HJ28" s="113" t="str">
        <f t="shared" si="170"/>
        <v/>
      </c>
      <c r="HK28" s="113" t="str">
        <f t="shared" si="171"/>
        <v/>
      </c>
    </row>
    <row r="29" spans="1:219" ht="13.2" customHeight="1">
      <c r="A29" s="146" t="str">
        <f t="shared" si="172"/>
        <v/>
      </c>
      <c r="B29" s="836"/>
      <c r="C29" s="837"/>
      <c r="D29" s="838"/>
      <c r="E29" s="839"/>
      <c r="F29" s="839"/>
      <c r="G29" s="839"/>
      <c r="H29" s="839"/>
      <c r="I29" s="839"/>
      <c r="J29" s="840"/>
      <c r="K29" s="227">
        <f t="shared" ref="K29:K47" si="408">MAX(0,H29-I29)</f>
        <v>0</v>
      </c>
      <c r="L29" s="227">
        <f t="shared" si="0"/>
        <v>0</v>
      </c>
      <c r="M29" s="841"/>
      <c r="N29" s="841"/>
      <c r="O29" s="841"/>
      <c r="P29" s="581" t="str">
        <f t="shared" si="407"/>
        <v/>
      </c>
      <c r="Q29" s="582" t="str">
        <f>IF(H29="","",P29/($P$6*VLOOKUP(C29,'DCA Underwriting Assumptions'!$J$77:$K$82,2,FALSE)))</f>
        <v/>
      </c>
      <c r="R29" s="739"/>
      <c r="S29" s="659"/>
      <c r="T29" s="113" t="str">
        <f t="shared" si="2"/>
        <v/>
      </c>
      <c r="U29" s="113" t="str">
        <f t="shared" si="3"/>
        <v/>
      </c>
      <c r="V29" s="113" t="str">
        <f t="shared" si="4"/>
        <v/>
      </c>
      <c r="W29" s="113" t="str">
        <f t="shared" si="5"/>
        <v/>
      </c>
      <c r="X29" s="113" t="str">
        <f t="shared" si="6"/>
        <v/>
      </c>
      <c r="Y29" s="113" t="str">
        <f t="shared" si="7"/>
        <v/>
      </c>
      <c r="Z29" s="113" t="str">
        <f t="shared" si="8"/>
        <v/>
      </c>
      <c r="AA29" s="113" t="str">
        <f t="shared" si="9"/>
        <v/>
      </c>
      <c r="AB29" s="113" t="str">
        <f t="shared" si="10"/>
        <v/>
      </c>
      <c r="AC29" s="113" t="str">
        <f t="shared" si="11"/>
        <v/>
      </c>
      <c r="AD29" s="113" t="str">
        <f t="shared" si="12"/>
        <v/>
      </c>
      <c r="AE29" s="113" t="str">
        <f t="shared" si="13"/>
        <v/>
      </c>
      <c r="AF29" s="113" t="str">
        <f t="shared" si="14"/>
        <v/>
      </c>
      <c r="AG29" s="113" t="str">
        <f t="shared" si="15"/>
        <v/>
      </c>
      <c r="AH29" s="113" t="str">
        <f t="shared" si="16"/>
        <v/>
      </c>
      <c r="AI29" s="113" t="str">
        <f t="shared" si="17"/>
        <v/>
      </c>
      <c r="AJ29" s="113" t="str">
        <f t="shared" si="18"/>
        <v/>
      </c>
      <c r="AK29" s="113" t="str">
        <f t="shared" si="19"/>
        <v/>
      </c>
      <c r="AL29" s="113" t="str">
        <f t="shared" si="20"/>
        <v/>
      </c>
      <c r="AM29" s="113" t="str">
        <f t="shared" si="21"/>
        <v/>
      </c>
      <c r="AN29" s="113" t="str">
        <f t="shared" si="174"/>
        <v/>
      </c>
      <c r="AO29" s="113" t="str">
        <f t="shared" si="175"/>
        <v/>
      </c>
      <c r="AP29" s="113" t="str">
        <f t="shared" si="176"/>
        <v/>
      </c>
      <c r="AQ29" s="113" t="str">
        <f t="shared" si="177"/>
        <v/>
      </c>
      <c r="AR29" s="113" t="str">
        <f t="shared" si="178"/>
        <v/>
      </c>
      <c r="AS29" s="113" t="str">
        <f t="shared" si="179"/>
        <v/>
      </c>
      <c r="AT29" s="113" t="str">
        <f t="shared" si="180"/>
        <v/>
      </c>
      <c r="AU29" s="113" t="str">
        <f t="shared" si="181"/>
        <v/>
      </c>
      <c r="AV29" s="113" t="str">
        <f t="shared" si="182"/>
        <v/>
      </c>
      <c r="AW29" s="113" t="str">
        <f t="shared" si="183"/>
        <v/>
      </c>
      <c r="AX29" s="113" t="str">
        <f t="shared" si="184"/>
        <v/>
      </c>
      <c r="AY29" s="113" t="str">
        <f t="shared" si="185"/>
        <v/>
      </c>
      <c r="AZ29" s="113" t="str">
        <f t="shared" si="186"/>
        <v/>
      </c>
      <c r="BA29" s="113" t="str">
        <f t="shared" si="187"/>
        <v/>
      </c>
      <c r="BB29" s="113" t="str">
        <f t="shared" si="188"/>
        <v/>
      </c>
      <c r="BC29" s="113" t="str">
        <f t="shared" si="189"/>
        <v/>
      </c>
      <c r="BD29" s="113" t="str">
        <f t="shared" si="190"/>
        <v/>
      </c>
      <c r="BE29" s="113" t="str">
        <f t="shared" si="191"/>
        <v/>
      </c>
      <c r="BF29" s="113" t="str">
        <f t="shared" si="192"/>
        <v/>
      </c>
      <c r="BG29" s="113" t="str">
        <f t="shared" si="193"/>
        <v/>
      </c>
      <c r="BH29" s="113" t="str">
        <f t="shared" si="194"/>
        <v/>
      </c>
      <c r="BI29" s="113" t="str">
        <f t="shared" si="195"/>
        <v/>
      </c>
      <c r="BJ29" s="113" t="str">
        <f t="shared" si="196"/>
        <v/>
      </c>
      <c r="BK29" s="113" t="str">
        <f t="shared" si="197"/>
        <v/>
      </c>
      <c r="BL29" s="113" t="str">
        <f t="shared" si="198"/>
        <v/>
      </c>
      <c r="BM29" s="113" t="str">
        <f t="shared" si="199"/>
        <v/>
      </c>
      <c r="BN29" s="113" t="str">
        <f t="shared" si="200"/>
        <v/>
      </c>
      <c r="BO29" s="113" t="str">
        <f t="shared" si="201"/>
        <v/>
      </c>
      <c r="BP29" s="113" t="str">
        <f t="shared" si="202"/>
        <v/>
      </c>
      <c r="BQ29" s="113" t="str">
        <f t="shared" si="203"/>
        <v/>
      </c>
      <c r="BR29" s="113" t="str">
        <f t="shared" si="22"/>
        <v/>
      </c>
      <c r="BS29" s="113" t="str">
        <f t="shared" si="23"/>
        <v/>
      </c>
      <c r="BT29" s="113" t="str">
        <f t="shared" si="24"/>
        <v/>
      </c>
      <c r="BU29" s="113" t="str">
        <f t="shared" si="25"/>
        <v/>
      </c>
      <c r="BV29" s="113" t="str">
        <f t="shared" si="26"/>
        <v/>
      </c>
      <c r="BW29" s="113" t="str">
        <f t="shared" si="27"/>
        <v/>
      </c>
      <c r="BX29" s="113" t="str">
        <f t="shared" si="28"/>
        <v/>
      </c>
      <c r="BY29" s="113" t="str">
        <f t="shared" si="29"/>
        <v/>
      </c>
      <c r="BZ29" s="113" t="str">
        <f t="shared" si="30"/>
        <v/>
      </c>
      <c r="CA29" s="113" t="str">
        <f t="shared" si="31"/>
        <v/>
      </c>
      <c r="CB29" s="113" t="str">
        <f t="shared" si="32"/>
        <v/>
      </c>
      <c r="CC29" s="113" t="str">
        <f t="shared" si="33"/>
        <v/>
      </c>
      <c r="CD29" s="113" t="str">
        <f t="shared" si="34"/>
        <v/>
      </c>
      <c r="CE29" s="113" t="str">
        <f t="shared" si="35"/>
        <v/>
      </c>
      <c r="CF29" s="113" t="str">
        <f t="shared" si="36"/>
        <v/>
      </c>
      <c r="CG29" s="113" t="str">
        <f t="shared" si="37"/>
        <v/>
      </c>
      <c r="CH29" s="113" t="str">
        <f t="shared" si="38"/>
        <v/>
      </c>
      <c r="CI29" s="113" t="str">
        <f t="shared" si="39"/>
        <v/>
      </c>
      <c r="CJ29" s="113" t="str">
        <f t="shared" si="40"/>
        <v/>
      </c>
      <c r="CK29" s="113" t="str">
        <f t="shared" si="41"/>
        <v/>
      </c>
      <c r="CL29" s="113" t="str">
        <f t="shared" si="42"/>
        <v/>
      </c>
      <c r="CM29" s="113" t="str">
        <f t="shared" si="43"/>
        <v/>
      </c>
      <c r="CN29" s="113" t="str">
        <f t="shared" si="44"/>
        <v/>
      </c>
      <c r="CO29" s="113" t="str">
        <f t="shared" si="45"/>
        <v/>
      </c>
      <c r="CP29" s="113" t="str">
        <f t="shared" si="46"/>
        <v/>
      </c>
      <c r="CQ29" s="113" t="str">
        <f t="shared" si="47"/>
        <v/>
      </c>
      <c r="CR29" s="113" t="str">
        <f t="shared" si="48"/>
        <v/>
      </c>
      <c r="CS29" s="113" t="str">
        <f t="shared" si="49"/>
        <v/>
      </c>
      <c r="CT29" s="113" t="str">
        <f t="shared" si="50"/>
        <v/>
      </c>
      <c r="CU29" s="113" t="str">
        <f t="shared" si="51"/>
        <v/>
      </c>
      <c r="CV29" s="113" t="str">
        <f t="shared" si="52"/>
        <v/>
      </c>
      <c r="CW29" s="113" t="str">
        <f t="shared" si="53"/>
        <v/>
      </c>
      <c r="CX29" s="113" t="str">
        <f t="shared" si="54"/>
        <v/>
      </c>
      <c r="CY29" s="113" t="str">
        <f t="shared" si="55"/>
        <v/>
      </c>
      <c r="CZ29" s="113" t="str">
        <f t="shared" si="56"/>
        <v/>
      </c>
      <c r="DA29" s="113" t="str">
        <f t="shared" si="57"/>
        <v/>
      </c>
      <c r="DB29" s="113" t="str">
        <f t="shared" si="58"/>
        <v/>
      </c>
      <c r="DC29" s="113" t="str">
        <f t="shared" si="59"/>
        <v/>
      </c>
      <c r="DD29" s="113" t="str">
        <f t="shared" si="60"/>
        <v/>
      </c>
      <c r="DE29" s="113" t="str">
        <f t="shared" si="61"/>
        <v/>
      </c>
      <c r="DF29" s="113" t="str">
        <f t="shared" si="62"/>
        <v/>
      </c>
      <c r="DG29" s="113" t="str">
        <f t="shared" si="63"/>
        <v/>
      </c>
      <c r="DH29" s="113" t="str">
        <f t="shared" si="64"/>
        <v/>
      </c>
      <c r="DI29" s="113" t="str">
        <f t="shared" si="65"/>
        <v/>
      </c>
      <c r="DJ29" s="113" t="str">
        <f t="shared" si="66"/>
        <v/>
      </c>
      <c r="DK29" s="113" t="str">
        <f t="shared" si="67"/>
        <v/>
      </c>
      <c r="DL29" s="113" t="str">
        <f t="shared" si="68"/>
        <v/>
      </c>
      <c r="DM29" s="113" t="str">
        <f t="shared" si="69"/>
        <v/>
      </c>
      <c r="DN29" s="113" t="str">
        <f t="shared" si="70"/>
        <v/>
      </c>
      <c r="DO29" s="113" t="str">
        <f t="shared" si="71"/>
        <v/>
      </c>
      <c r="DP29" s="113" t="str">
        <f t="shared" si="72"/>
        <v/>
      </c>
      <c r="DQ29" s="113" t="str">
        <f t="shared" si="73"/>
        <v/>
      </c>
      <c r="DR29" s="113" t="str">
        <f t="shared" si="74"/>
        <v/>
      </c>
      <c r="DS29" s="113" t="str">
        <f t="shared" si="75"/>
        <v/>
      </c>
      <c r="DT29" s="113" t="str">
        <f t="shared" si="76"/>
        <v/>
      </c>
      <c r="DU29" s="113" t="str">
        <f t="shared" si="77"/>
        <v/>
      </c>
      <c r="DV29" s="113" t="str">
        <f t="shared" si="78"/>
        <v/>
      </c>
      <c r="DW29" s="113" t="str">
        <f t="shared" si="79"/>
        <v/>
      </c>
      <c r="DX29" s="113" t="str">
        <f t="shared" si="80"/>
        <v/>
      </c>
      <c r="DY29" s="113" t="str">
        <f t="shared" si="81"/>
        <v/>
      </c>
      <c r="DZ29" s="113" t="str">
        <f t="shared" si="82"/>
        <v/>
      </c>
      <c r="EA29" s="113" t="str">
        <f t="shared" si="83"/>
        <v/>
      </c>
      <c r="EB29" s="113" t="str">
        <f t="shared" si="84"/>
        <v/>
      </c>
      <c r="EC29" s="113" t="str">
        <f t="shared" si="85"/>
        <v/>
      </c>
      <c r="ED29" s="113" t="str">
        <f t="shared" si="86"/>
        <v/>
      </c>
      <c r="EE29" s="113" t="str">
        <f t="shared" si="87"/>
        <v/>
      </c>
      <c r="EF29" s="113" t="str">
        <f t="shared" si="88"/>
        <v/>
      </c>
      <c r="EG29" s="113" t="str">
        <f t="shared" si="89"/>
        <v/>
      </c>
      <c r="EH29" s="113" t="str">
        <f t="shared" si="90"/>
        <v/>
      </c>
      <c r="EI29" s="113" t="str">
        <f t="shared" si="91"/>
        <v/>
      </c>
      <c r="EJ29" s="113" t="str">
        <f t="shared" si="92"/>
        <v/>
      </c>
      <c r="EK29" s="113" t="str">
        <f t="shared" si="93"/>
        <v/>
      </c>
      <c r="EL29" s="113" t="str">
        <f t="shared" si="94"/>
        <v/>
      </c>
      <c r="EM29" s="113" t="str">
        <f t="shared" si="95"/>
        <v/>
      </c>
      <c r="EN29" s="113" t="str">
        <f t="shared" si="96"/>
        <v/>
      </c>
      <c r="EO29" s="113" t="str">
        <f t="shared" si="97"/>
        <v/>
      </c>
      <c r="EP29" s="113" t="str">
        <f t="shared" si="98"/>
        <v/>
      </c>
      <c r="EQ29" s="113" t="str">
        <f t="shared" si="99"/>
        <v/>
      </c>
      <c r="ER29" s="113" t="str">
        <f t="shared" si="100"/>
        <v/>
      </c>
      <c r="ES29" s="113" t="str">
        <f t="shared" si="101"/>
        <v/>
      </c>
      <c r="ET29" s="660" t="str">
        <f t="shared" si="102"/>
        <v/>
      </c>
      <c r="EU29" s="660" t="str">
        <f t="shared" si="103"/>
        <v/>
      </c>
      <c r="EV29" s="660" t="str">
        <f t="shared" si="104"/>
        <v/>
      </c>
      <c r="EW29" s="660" t="str">
        <f t="shared" si="105"/>
        <v/>
      </c>
      <c r="EX29" s="660" t="str">
        <f t="shared" si="106"/>
        <v/>
      </c>
      <c r="EY29" s="660" t="str">
        <f t="shared" si="107"/>
        <v/>
      </c>
      <c r="EZ29" s="660" t="str">
        <f t="shared" si="108"/>
        <v/>
      </c>
      <c r="FA29" s="660" t="str">
        <f t="shared" si="109"/>
        <v/>
      </c>
      <c r="FB29" s="660" t="str">
        <f t="shared" si="110"/>
        <v/>
      </c>
      <c r="FC29" s="660" t="str">
        <f t="shared" si="111"/>
        <v/>
      </c>
      <c r="FD29" s="660" t="str">
        <f t="shared" si="112"/>
        <v/>
      </c>
      <c r="FE29" s="660" t="str">
        <f t="shared" si="113"/>
        <v/>
      </c>
      <c r="FF29" s="660" t="str">
        <f t="shared" si="114"/>
        <v/>
      </c>
      <c r="FG29" s="660" t="str">
        <f t="shared" si="115"/>
        <v/>
      </c>
      <c r="FH29" s="660" t="str">
        <f t="shared" si="116"/>
        <v/>
      </c>
      <c r="FI29" s="660" t="str">
        <f t="shared" si="117"/>
        <v/>
      </c>
      <c r="FJ29" s="660" t="str">
        <f t="shared" si="118"/>
        <v/>
      </c>
      <c r="FK29" s="660" t="str">
        <f t="shared" si="119"/>
        <v/>
      </c>
      <c r="FL29" s="660" t="str">
        <f t="shared" si="120"/>
        <v/>
      </c>
      <c r="FM29" s="660" t="str">
        <f t="shared" si="121"/>
        <v/>
      </c>
      <c r="FN29" s="660" t="str">
        <f t="shared" si="122"/>
        <v/>
      </c>
      <c r="FO29" s="660" t="str">
        <f t="shared" si="123"/>
        <v/>
      </c>
      <c r="FP29" s="660" t="str">
        <f t="shared" si="124"/>
        <v/>
      </c>
      <c r="FQ29" s="660" t="str">
        <f t="shared" si="125"/>
        <v/>
      </c>
      <c r="FR29" s="660" t="str">
        <f t="shared" si="126"/>
        <v/>
      </c>
      <c r="FS29" s="660" t="str">
        <f t="shared" si="127"/>
        <v/>
      </c>
      <c r="FT29" s="660" t="str">
        <f t="shared" si="128"/>
        <v/>
      </c>
      <c r="FU29" s="660" t="str">
        <f t="shared" si="129"/>
        <v/>
      </c>
      <c r="FV29" s="660" t="str">
        <f t="shared" si="130"/>
        <v/>
      </c>
      <c r="FW29" s="660" t="str">
        <f t="shared" si="131"/>
        <v/>
      </c>
      <c r="FX29" s="660" t="str">
        <f t="shared" si="132"/>
        <v/>
      </c>
      <c r="FY29" s="660" t="str">
        <f t="shared" si="133"/>
        <v/>
      </c>
      <c r="FZ29" s="660" t="str">
        <f t="shared" si="134"/>
        <v/>
      </c>
      <c r="GA29" s="660" t="str">
        <f t="shared" si="135"/>
        <v/>
      </c>
      <c r="GB29" s="660" t="str">
        <f t="shared" si="136"/>
        <v/>
      </c>
      <c r="GC29" s="660" t="str">
        <f t="shared" si="137"/>
        <v/>
      </c>
      <c r="GD29" s="660" t="str">
        <f t="shared" si="138"/>
        <v/>
      </c>
      <c r="GE29" s="660" t="str">
        <f t="shared" si="139"/>
        <v/>
      </c>
      <c r="GF29" s="660" t="str">
        <f t="shared" si="140"/>
        <v/>
      </c>
      <c r="GG29" s="660" t="str">
        <f t="shared" si="141"/>
        <v/>
      </c>
      <c r="GH29" s="660" t="str">
        <f t="shared" si="142"/>
        <v/>
      </c>
      <c r="GI29" s="660" t="str">
        <f t="shared" si="143"/>
        <v/>
      </c>
      <c r="GJ29" s="660" t="str">
        <f t="shared" si="144"/>
        <v/>
      </c>
      <c r="GK29" s="660" t="str">
        <f t="shared" si="145"/>
        <v/>
      </c>
      <c r="GL29" s="660" t="str">
        <f t="shared" si="146"/>
        <v/>
      </c>
      <c r="GM29" s="661" t="str">
        <f t="shared" si="147"/>
        <v/>
      </c>
      <c r="GN29" s="661" t="str">
        <f t="shared" si="148"/>
        <v/>
      </c>
      <c r="GO29" s="661" t="str">
        <f t="shared" si="149"/>
        <v/>
      </c>
      <c r="GP29" s="661" t="str">
        <f t="shared" si="150"/>
        <v/>
      </c>
      <c r="GQ29" s="661" t="str">
        <f t="shared" si="151"/>
        <v/>
      </c>
      <c r="GR29" s="113" t="str">
        <f t="shared" si="152"/>
        <v/>
      </c>
      <c r="GS29" s="113" t="str">
        <f t="shared" si="153"/>
        <v/>
      </c>
      <c r="GT29" s="113" t="str">
        <f t="shared" si="154"/>
        <v/>
      </c>
      <c r="GU29" s="113" t="str">
        <f t="shared" si="155"/>
        <v/>
      </c>
      <c r="GV29" s="113" t="str">
        <f t="shared" si="156"/>
        <v/>
      </c>
      <c r="GW29" s="113" t="str">
        <f t="shared" si="157"/>
        <v/>
      </c>
      <c r="GX29" s="113" t="str">
        <f t="shared" si="158"/>
        <v/>
      </c>
      <c r="GY29" s="113" t="str">
        <f t="shared" si="159"/>
        <v/>
      </c>
      <c r="GZ29" s="113" t="str">
        <f t="shared" si="160"/>
        <v/>
      </c>
      <c r="HA29" s="113" t="str">
        <f t="shared" si="161"/>
        <v/>
      </c>
      <c r="HB29" s="113" t="str">
        <f t="shared" si="162"/>
        <v/>
      </c>
      <c r="HC29" s="113" t="str">
        <f t="shared" si="163"/>
        <v/>
      </c>
      <c r="HD29" s="113" t="str">
        <f t="shared" si="164"/>
        <v/>
      </c>
      <c r="HE29" s="113" t="str">
        <f t="shared" si="165"/>
        <v/>
      </c>
      <c r="HF29" s="113" t="str">
        <f t="shared" si="166"/>
        <v/>
      </c>
      <c r="HG29" s="113" t="str">
        <f t="shared" si="167"/>
        <v/>
      </c>
      <c r="HH29" s="113" t="str">
        <f t="shared" si="168"/>
        <v/>
      </c>
      <c r="HI29" s="113" t="str">
        <f t="shared" si="169"/>
        <v/>
      </c>
      <c r="HJ29" s="113" t="str">
        <f t="shared" si="170"/>
        <v/>
      </c>
      <c r="HK29" s="113" t="str">
        <f t="shared" si="171"/>
        <v/>
      </c>
    </row>
    <row r="30" spans="1:219" ht="13.2" customHeight="1">
      <c r="A30" s="146" t="str">
        <f t="shared" si="172"/>
        <v/>
      </c>
      <c r="B30" s="836"/>
      <c r="C30" s="837"/>
      <c r="D30" s="838"/>
      <c r="E30" s="839"/>
      <c r="F30" s="839"/>
      <c r="G30" s="839"/>
      <c r="H30" s="839"/>
      <c r="I30" s="839"/>
      <c r="J30" s="840"/>
      <c r="K30" s="227">
        <f t="shared" si="408"/>
        <v>0</v>
      </c>
      <c r="L30" s="227">
        <f t="shared" si="0"/>
        <v>0</v>
      </c>
      <c r="M30" s="841"/>
      <c r="N30" s="841"/>
      <c r="O30" s="841"/>
      <c r="P30" s="581" t="str">
        <f t="shared" si="407"/>
        <v/>
      </c>
      <c r="Q30" s="582" t="str">
        <f>IF(H30="","",P30/($P$6*VLOOKUP(C30,'DCA Underwriting Assumptions'!$J$77:$K$82,2,FALSE)))</f>
        <v/>
      </c>
      <c r="R30" s="739"/>
      <c r="S30" s="659"/>
      <c r="T30" s="113" t="str">
        <f t="shared" si="2"/>
        <v/>
      </c>
      <c r="U30" s="113" t="str">
        <f t="shared" si="3"/>
        <v/>
      </c>
      <c r="V30" s="113" t="str">
        <f t="shared" si="4"/>
        <v/>
      </c>
      <c r="W30" s="113" t="str">
        <f t="shared" si="5"/>
        <v/>
      </c>
      <c r="X30" s="113" t="str">
        <f t="shared" si="6"/>
        <v/>
      </c>
      <c r="Y30" s="113" t="str">
        <f t="shared" si="7"/>
        <v/>
      </c>
      <c r="Z30" s="113" t="str">
        <f t="shared" si="8"/>
        <v/>
      </c>
      <c r="AA30" s="113" t="str">
        <f t="shared" si="9"/>
        <v/>
      </c>
      <c r="AB30" s="113" t="str">
        <f t="shared" si="10"/>
        <v/>
      </c>
      <c r="AC30" s="113" t="str">
        <f t="shared" si="11"/>
        <v/>
      </c>
      <c r="AD30" s="113" t="str">
        <f t="shared" si="12"/>
        <v/>
      </c>
      <c r="AE30" s="113" t="str">
        <f t="shared" si="13"/>
        <v/>
      </c>
      <c r="AF30" s="113" t="str">
        <f t="shared" si="14"/>
        <v/>
      </c>
      <c r="AG30" s="113" t="str">
        <f t="shared" si="15"/>
        <v/>
      </c>
      <c r="AH30" s="113" t="str">
        <f t="shared" si="16"/>
        <v/>
      </c>
      <c r="AI30" s="113" t="str">
        <f t="shared" si="17"/>
        <v/>
      </c>
      <c r="AJ30" s="113" t="str">
        <f t="shared" si="18"/>
        <v/>
      </c>
      <c r="AK30" s="113" t="str">
        <f t="shared" si="19"/>
        <v/>
      </c>
      <c r="AL30" s="113" t="str">
        <f t="shared" si="20"/>
        <v/>
      </c>
      <c r="AM30" s="113" t="str">
        <f t="shared" si="21"/>
        <v/>
      </c>
      <c r="AN30" s="113" t="str">
        <f t="shared" si="174"/>
        <v/>
      </c>
      <c r="AO30" s="113" t="str">
        <f t="shared" si="175"/>
        <v/>
      </c>
      <c r="AP30" s="113" t="str">
        <f t="shared" si="176"/>
        <v/>
      </c>
      <c r="AQ30" s="113" t="str">
        <f t="shared" si="177"/>
        <v/>
      </c>
      <c r="AR30" s="113" t="str">
        <f t="shared" si="178"/>
        <v/>
      </c>
      <c r="AS30" s="113" t="str">
        <f t="shared" si="179"/>
        <v/>
      </c>
      <c r="AT30" s="113" t="str">
        <f t="shared" si="180"/>
        <v/>
      </c>
      <c r="AU30" s="113" t="str">
        <f t="shared" si="181"/>
        <v/>
      </c>
      <c r="AV30" s="113" t="str">
        <f t="shared" si="182"/>
        <v/>
      </c>
      <c r="AW30" s="113" t="str">
        <f t="shared" si="183"/>
        <v/>
      </c>
      <c r="AX30" s="113" t="str">
        <f t="shared" si="184"/>
        <v/>
      </c>
      <c r="AY30" s="113" t="str">
        <f t="shared" si="185"/>
        <v/>
      </c>
      <c r="AZ30" s="113" t="str">
        <f t="shared" si="186"/>
        <v/>
      </c>
      <c r="BA30" s="113" t="str">
        <f t="shared" si="187"/>
        <v/>
      </c>
      <c r="BB30" s="113" t="str">
        <f t="shared" si="188"/>
        <v/>
      </c>
      <c r="BC30" s="113" t="str">
        <f t="shared" si="189"/>
        <v/>
      </c>
      <c r="BD30" s="113" t="str">
        <f t="shared" si="190"/>
        <v/>
      </c>
      <c r="BE30" s="113" t="str">
        <f t="shared" si="191"/>
        <v/>
      </c>
      <c r="BF30" s="113" t="str">
        <f t="shared" si="192"/>
        <v/>
      </c>
      <c r="BG30" s="113" t="str">
        <f t="shared" si="193"/>
        <v/>
      </c>
      <c r="BH30" s="113" t="str">
        <f t="shared" si="194"/>
        <v/>
      </c>
      <c r="BI30" s="113" t="str">
        <f t="shared" si="195"/>
        <v/>
      </c>
      <c r="BJ30" s="113" t="str">
        <f t="shared" si="196"/>
        <v/>
      </c>
      <c r="BK30" s="113" t="str">
        <f t="shared" si="197"/>
        <v/>
      </c>
      <c r="BL30" s="113" t="str">
        <f t="shared" si="198"/>
        <v/>
      </c>
      <c r="BM30" s="113" t="str">
        <f t="shared" si="199"/>
        <v/>
      </c>
      <c r="BN30" s="113" t="str">
        <f t="shared" si="200"/>
        <v/>
      </c>
      <c r="BO30" s="113" t="str">
        <f t="shared" si="201"/>
        <v/>
      </c>
      <c r="BP30" s="113" t="str">
        <f t="shared" si="202"/>
        <v/>
      </c>
      <c r="BQ30" s="113" t="str">
        <f t="shared" si="203"/>
        <v/>
      </c>
      <c r="BR30" s="113" t="str">
        <f t="shared" si="22"/>
        <v/>
      </c>
      <c r="BS30" s="113" t="str">
        <f t="shared" si="23"/>
        <v/>
      </c>
      <c r="BT30" s="113" t="str">
        <f t="shared" si="24"/>
        <v/>
      </c>
      <c r="BU30" s="113" t="str">
        <f t="shared" si="25"/>
        <v/>
      </c>
      <c r="BV30" s="113" t="str">
        <f t="shared" si="26"/>
        <v/>
      </c>
      <c r="BW30" s="113" t="str">
        <f t="shared" si="27"/>
        <v/>
      </c>
      <c r="BX30" s="113" t="str">
        <f t="shared" si="28"/>
        <v/>
      </c>
      <c r="BY30" s="113" t="str">
        <f t="shared" si="29"/>
        <v/>
      </c>
      <c r="BZ30" s="113" t="str">
        <f t="shared" si="30"/>
        <v/>
      </c>
      <c r="CA30" s="113" t="str">
        <f t="shared" si="31"/>
        <v/>
      </c>
      <c r="CB30" s="113" t="str">
        <f t="shared" si="32"/>
        <v/>
      </c>
      <c r="CC30" s="113" t="str">
        <f t="shared" si="33"/>
        <v/>
      </c>
      <c r="CD30" s="113" t="str">
        <f t="shared" si="34"/>
        <v/>
      </c>
      <c r="CE30" s="113" t="str">
        <f t="shared" si="35"/>
        <v/>
      </c>
      <c r="CF30" s="113" t="str">
        <f t="shared" si="36"/>
        <v/>
      </c>
      <c r="CG30" s="113" t="str">
        <f t="shared" si="37"/>
        <v/>
      </c>
      <c r="CH30" s="113" t="str">
        <f t="shared" si="38"/>
        <v/>
      </c>
      <c r="CI30" s="113" t="str">
        <f t="shared" si="39"/>
        <v/>
      </c>
      <c r="CJ30" s="113" t="str">
        <f t="shared" si="40"/>
        <v/>
      </c>
      <c r="CK30" s="113" t="str">
        <f t="shared" si="41"/>
        <v/>
      </c>
      <c r="CL30" s="113" t="str">
        <f t="shared" si="42"/>
        <v/>
      </c>
      <c r="CM30" s="113" t="str">
        <f t="shared" si="43"/>
        <v/>
      </c>
      <c r="CN30" s="113" t="str">
        <f t="shared" si="44"/>
        <v/>
      </c>
      <c r="CO30" s="113" t="str">
        <f t="shared" si="45"/>
        <v/>
      </c>
      <c r="CP30" s="113" t="str">
        <f t="shared" si="46"/>
        <v/>
      </c>
      <c r="CQ30" s="113" t="str">
        <f t="shared" si="47"/>
        <v/>
      </c>
      <c r="CR30" s="113" t="str">
        <f t="shared" si="48"/>
        <v/>
      </c>
      <c r="CS30" s="113" t="str">
        <f t="shared" si="49"/>
        <v/>
      </c>
      <c r="CT30" s="113" t="str">
        <f t="shared" si="50"/>
        <v/>
      </c>
      <c r="CU30" s="113" t="str">
        <f t="shared" si="51"/>
        <v/>
      </c>
      <c r="CV30" s="113" t="str">
        <f t="shared" si="52"/>
        <v/>
      </c>
      <c r="CW30" s="113" t="str">
        <f t="shared" si="53"/>
        <v/>
      </c>
      <c r="CX30" s="113" t="str">
        <f t="shared" si="54"/>
        <v/>
      </c>
      <c r="CY30" s="113" t="str">
        <f t="shared" si="55"/>
        <v/>
      </c>
      <c r="CZ30" s="113" t="str">
        <f t="shared" si="56"/>
        <v/>
      </c>
      <c r="DA30" s="113" t="str">
        <f t="shared" si="57"/>
        <v/>
      </c>
      <c r="DB30" s="113" t="str">
        <f t="shared" si="58"/>
        <v/>
      </c>
      <c r="DC30" s="113" t="str">
        <f t="shared" si="59"/>
        <v/>
      </c>
      <c r="DD30" s="113" t="str">
        <f t="shared" si="60"/>
        <v/>
      </c>
      <c r="DE30" s="113" t="str">
        <f t="shared" si="61"/>
        <v/>
      </c>
      <c r="DF30" s="113" t="str">
        <f t="shared" si="62"/>
        <v/>
      </c>
      <c r="DG30" s="113" t="str">
        <f t="shared" si="63"/>
        <v/>
      </c>
      <c r="DH30" s="113" t="str">
        <f t="shared" si="64"/>
        <v/>
      </c>
      <c r="DI30" s="113" t="str">
        <f t="shared" si="65"/>
        <v/>
      </c>
      <c r="DJ30" s="113" t="str">
        <f t="shared" si="66"/>
        <v/>
      </c>
      <c r="DK30" s="113" t="str">
        <f t="shared" si="67"/>
        <v/>
      </c>
      <c r="DL30" s="113" t="str">
        <f t="shared" si="68"/>
        <v/>
      </c>
      <c r="DM30" s="113" t="str">
        <f t="shared" si="69"/>
        <v/>
      </c>
      <c r="DN30" s="113" t="str">
        <f t="shared" si="70"/>
        <v/>
      </c>
      <c r="DO30" s="113" t="str">
        <f t="shared" si="71"/>
        <v/>
      </c>
      <c r="DP30" s="113" t="str">
        <f t="shared" si="72"/>
        <v/>
      </c>
      <c r="DQ30" s="113" t="str">
        <f t="shared" si="73"/>
        <v/>
      </c>
      <c r="DR30" s="113" t="str">
        <f t="shared" si="74"/>
        <v/>
      </c>
      <c r="DS30" s="113" t="str">
        <f t="shared" si="75"/>
        <v/>
      </c>
      <c r="DT30" s="113" t="str">
        <f t="shared" si="76"/>
        <v/>
      </c>
      <c r="DU30" s="113" t="str">
        <f t="shared" si="77"/>
        <v/>
      </c>
      <c r="DV30" s="113" t="str">
        <f t="shared" si="78"/>
        <v/>
      </c>
      <c r="DW30" s="113" t="str">
        <f t="shared" si="79"/>
        <v/>
      </c>
      <c r="DX30" s="113" t="str">
        <f t="shared" si="80"/>
        <v/>
      </c>
      <c r="DY30" s="113" t="str">
        <f t="shared" si="81"/>
        <v/>
      </c>
      <c r="DZ30" s="113" t="str">
        <f t="shared" si="82"/>
        <v/>
      </c>
      <c r="EA30" s="113" t="str">
        <f t="shared" si="83"/>
        <v/>
      </c>
      <c r="EB30" s="113" t="str">
        <f t="shared" si="84"/>
        <v/>
      </c>
      <c r="EC30" s="113" t="str">
        <f t="shared" si="85"/>
        <v/>
      </c>
      <c r="ED30" s="113" t="str">
        <f t="shared" si="86"/>
        <v/>
      </c>
      <c r="EE30" s="113" t="str">
        <f t="shared" si="87"/>
        <v/>
      </c>
      <c r="EF30" s="113" t="str">
        <f t="shared" si="88"/>
        <v/>
      </c>
      <c r="EG30" s="113" t="str">
        <f t="shared" si="89"/>
        <v/>
      </c>
      <c r="EH30" s="113" t="str">
        <f t="shared" si="90"/>
        <v/>
      </c>
      <c r="EI30" s="113" t="str">
        <f t="shared" si="91"/>
        <v/>
      </c>
      <c r="EJ30" s="113" t="str">
        <f t="shared" si="92"/>
        <v/>
      </c>
      <c r="EK30" s="113" t="str">
        <f t="shared" si="93"/>
        <v/>
      </c>
      <c r="EL30" s="113" t="str">
        <f t="shared" si="94"/>
        <v/>
      </c>
      <c r="EM30" s="113" t="str">
        <f t="shared" si="95"/>
        <v/>
      </c>
      <c r="EN30" s="113" t="str">
        <f t="shared" si="96"/>
        <v/>
      </c>
      <c r="EO30" s="113" t="str">
        <f t="shared" si="97"/>
        <v/>
      </c>
      <c r="EP30" s="113" t="str">
        <f t="shared" si="98"/>
        <v/>
      </c>
      <c r="EQ30" s="113" t="str">
        <f t="shared" si="99"/>
        <v/>
      </c>
      <c r="ER30" s="113" t="str">
        <f t="shared" si="100"/>
        <v/>
      </c>
      <c r="ES30" s="113" t="str">
        <f t="shared" si="101"/>
        <v/>
      </c>
      <c r="ET30" s="660" t="str">
        <f t="shared" si="102"/>
        <v/>
      </c>
      <c r="EU30" s="660" t="str">
        <f t="shared" si="103"/>
        <v/>
      </c>
      <c r="EV30" s="660" t="str">
        <f t="shared" si="104"/>
        <v/>
      </c>
      <c r="EW30" s="660" t="str">
        <f t="shared" si="105"/>
        <v/>
      </c>
      <c r="EX30" s="660" t="str">
        <f t="shared" si="106"/>
        <v/>
      </c>
      <c r="EY30" s="660" t="str">
        <f t="shared" si="107"/>
        <v/>
      </c>
      <c r="EZ30" s="660" t="str">
        <f t="shared" si="108"/>
        <v/>
      </c>
      <c r="FA30" s="660" t="str">
        <f t="shared" si="109"/>
        <v/>
      </c>
      <c r="FB30" s="660" t="str">
        <f t="shared" si="110"/>
        <v/>
      </c>
      <c r="FC30" s="660" t="str">
        <f t="shared" si="111"/>
        <v/>
      </c>
      <c r="FD30" s="660" t="str">
        <f t="shared" si="112"/>
        <v/>
      </c>
      <c r="FE30" s="660" t="str">
        <f t="shared" si="113"/>
        <v/>
      </c>
      <c r="FF30" s="660" t="str">
        <f t="shared" si="114"/>
        <v/>
      </c>
      <c r="FG30" s="660" t="str">
        <f t="shared" si="115"/>
        <v/>
      </c>
      <c r="FH30" s="660" t="str">
        <f t="shared" si="116"/>
        <v/>
      </c>
      <c r="FI30" s="660" t="str">
        <f t="shared" si="117"/>
        <v/>
      </c>
      <c r="FJ30" s="660" t="str">
        <f t="shared" si="118"/>
        <v/>
      </c>
      <c r="FK30" s="660" t="str">
        <f t="shared" si="119"/>
        <v/>
      </c>
      <c r="FL30" s="660" t="str">
        <f t="shared" si="120"/>
        <v/>
      </c>
      <c r="FM30" s="660" t="str">
        <f t="shared" si="121"/>
        <v/>
      </c>
      <c r="FN30" s="660" t="str">
        <f t="shared" si="122"/>
        <v/>
      </c>
      <c r="FO30" s="660" t="str">
        <f t="shared" si="123"/>
        <v/>
      </c>
      <c r="FP30" s="660" t="str">
        <f t="shared" si="124"/>
        <v/>
      </c>
      <c r="FQ30" s="660" t="str">
        <f t="shared" si="125"/>
        <v/>
      </c>
      <c r="FR30" s="660" t="str">
        <f t="shared" si="126"/>
        <v/>
      </c>
      <c r="FS30" s="660" t="str">
        <f t="shared" si="127"/>
        <v/>
      </c>
      <c r="FT30" s="660" t="str">
        <f t="shared" si="128"/>
        <v/>
      </c>
      <c r="FU30" s="660" t="str">
        <f t="shared" si="129"/>
        <v/>
      </c>
      <c r="FV30" s="660" t="str">
        <f t="shared" si="130"/>
        <v/>
      </c>
      <c r="FW30" s="660" t="str">
        <f t="shared" si="131"/>
        <v/>
      </c>
      <c r="FX30" s="660" t="str">
        <f t="shared" si="132"/>
        <v/>
      </c>
      <c r="FY30" s="660" t="str">
        <f t="shared" si="133"/>
        <v/>
      </c>
      <c r="FZ30" s="660" t="str">
        <f t="shared" si="134"/>
        <v/>
      </c>
      <c r="GA30" s="660" t="str">
        <f t="shared" si="135"/>
        <v/>
      </c>
      <c r="GB30" s="660" t="str">
        <f t="shared" si="136"/>
        <v/>
      </c>
      <c r="GC30" s="660" t="str">
        <f t="shared" si="137"/>
        <v/>
      </c>
      <c r="GD30" s="660" t="str">
        <f t="shared" si="138"/>
        <v/>
      </c>
      <c r="GE30" s="660" t="str">
        <f t="shared" si="139"/>
        <v/>
      </c>
      <c r="GF30" s="660" t="str">
        <f t="shared" si="140"/>
        <v/>
      </c>
      <c r="GG30" s="660" t="str">
        <f t="shared" si="141"/>
        <v/>
      </c>
      <c r="GH30" s="660" t="str">
        <f t="shared" si="142"/>
        <v/>
      </c>
      <c r="GI30" s="660" t="str">
        <f t="shared" si="143"/>
        <v/>
      </c>
      <c r="GJ30" s="660" t="str">
        <f t="shared" si="144"/>
        <v/>
      </c>
      <c r="GK30" s="660" t="str">
        <f t="shared" si="145"/>
        <v/>
      </c>
      <c r="GL30" s="660" t="str">
        <f t="shared" si="146"/>
        <v/>
      </c>
      <c r="GM30" s="661" t="str">
        <f t="shared" si="147"/>
        <v/>
      </c>
      <c r="GN30" s="661" t="str">
        <f t="shared" si="148"/>
        <v/>
      </c>
      <c r="GO30" s="661" t="str">
        <f t="shared" si="149"/>
        <v/>
      </c>
      <c r="GP30" s="661" t="str">
        <f t="shared" si="150"/>
        <v/>
      </c>
      <c r="GQ30" s="661" t="str">
        <f t="shared" si="151"/>
        <v/>
      </c>
      <c r="GR30" s="113" t="str">
        <f t="shared" si="152"/>
        <v/>
      </c>
      <c r="GS30" s="113" t="str">
        <f t="shared" si="153"/>
        <v/>
      </c>
      <c r="GT30" s="113" t="str">
        <f t="shared" si="154"/>
        <v/>
      </c>
      <c r="GU30" s="113" t="str">
        <f t="shared" si="155"/>
        <v/>
      </c>
      <c r="GV30" s="113" t="str">
        <f t="shared" si="156"/>
        <v/>
      </c>
      <c r="GW30" s="113" t="str">
        <f t="shared" si="157"/>
        <v/>
      </c>
      <c r="GX30" s="113" t="str">
        <f t="shared" si="158"/>
        <v/>
      </c>
      <c r="GY30" s="113" t="str">
        <f t="shared" si="159"/>
        <v/>
      </c>
      <c r="GZ30" s="113" t="str">
        <f t="shared" si="160"/>
        <v/>
      </c>
      <c r="HA30" s="113" t="str">
        <f t="shared" si="161"/>
        <v/>
      </c>
      <c r="HB30" s="113" t="str">
        <f t="shared" si="162"/>
        <v/>
      </c>
      <c r="HC30" s="113" t="str">
        <f t="shared" si="163"/>
        <v/>
      </c>
      <c r="HD30" s="113" t="str">
        <f t="shared" si="164"/>
        <v/>
      </c>
      <c r="HE30" s="113" t="str">
        <f t="shared" si="165"/>
        <v/>
      </c>
      <c r="HF30" s="113" t="str">
        <f t="shared" si="166"/>
        <v/>
      </c>
      <c r="HG30" s="113" t="str">
        <f t="shared" si="167"/>
        <v/>
      </c>
      <c r="HH30" s="113" t="str">
        <f t="shared" si="168"/>
        <v/>
      </c>
      <c r="HI30" s="113" t="str">
        <f t="shared" si="169"/>
        <v/>
      </c>
      <c r="HJ30" s="113" t="str">
        <f t="shared" si="170"/>
        <v/>
      </c>
      <c r="HK30" s="113" t="str">
        <f t="shared" si="171"/>
        <v/>
      </c>
    </row>
    <row r="31" spans="1:219" ht="13.2" customHeight="1">
      <c r="A31" s="146" t="str">
        <f t="shared" si="172"/>
        <v/>
      </c>
      <c r="B31" s="836"/>
      <c r="C31" s="837"/>
      <c r="D31" s="838"/>
      <c r="E31" s="839"/>
      <c r="F31" s="839"/>
      <c r="G31" s="839"/>
      <c r="H31" s="839"/>
      <c r="I31" s="839"/>
      <c r="J31" s="840"/>
      <c r="K31" s="227">
        <f t="shared" si="408"/>
        <v>0</v>
      </c>
      <c r="L31" s="227">
        <f t="shared" si="0"/>
        <v>0</v>
      </c>
      <c r="M31" s="841"/>
      <c r="N31" s="841"/>
      <c r="O31" s="841"/>
      <c r="P31" s="581" t="str">
        <f t="shared" si="407"/>
        <v/>
      </c>
      <c r="Q31" s="582" t="str">
        <f>IF(H31="","",P31/($P$6*VLOOKUP(C31,'DCA Underwriting Assumptions'!$J$77:$K$82,2,FALSE)))</f>
        <v/>
      </c>
      <c r="R31" s="739"/>
      <c r="S31" s="659"/>
      <c r="T31" s="113" t="str">
        <f t="shared" si="2"/>
        <v/>
      </c>
      <c r="U31" s="113" t="str">
        <f t="shared" si="3"/>
        <v/>
      </c>
      <c r="V31" s="113" t="str">
        <f t="shared" si="4"/>
        <v/>
      </c>
      <c r="W31" s="113" t="str">
        <f t="shared" si="5"/>
        <v/>
      </c>
      <c r="X31" s="113" t="str">
        <f t="shared" si="6"/>
        <v/>
      </c>
      <c r="Y31" s="113" t="str">
        <f t="shared" si="7"/>
        <v/>
      </c>
      <c r="Z31" s="113" t="str">
        <f t="shared" si="8"/>
        <v/>
      </c>
      <c r="AA31" s="113" t="str">
        <f t="shared" si="9"/>
        <v/>
      </c>
      <c r="AB31" s="113" t="str">
        <f t="shared" si="10"/>
        <v/>
      </c>
      <c r="AC31" s="113" t="str">
        <f t="shared" si="11"/>
        <v/>
      </c>
      <c r="AD31" s="113" t="str">
        <f t="shared" si="12"/>
        <v/>
      </c>
      <c r="AE31" s="113" t="str">
        <f t="shared" si="13"/>
        <v/>
      </c>
      <c r="AF31" s="113" t="str">
        <f t="shared" si="14"/>
        <v/>
      </c>
      <c r="AG31" s="113" t="str">
        <f t="shared" si="15"/>
        <v/>
      </c>
      <c r="AH31" s="113" t="str">
        <f t="shared" si="16"/>
        <v/>
      </c>
      <c r="AI31" s="113" t="str">
        <f t="shared" si="17"/>
        <v/>
      </c>
      <c r="AJ31" s="113" t="str">
        <f t="shared" si="18"/>
        <v/>
      </c>
      <c r="AK31" s="113" t="str">
        <f t="shared" si="19"/>
        <v/>
      </c>
      <c r="AL31" s="113" t="str">
        <f t="shared" si="20"/>
        <v/>
      </c>
      <c r="AM31" s="113" t="str">
        <f t="shared" si="21"/>
        <v/>
      </c>
      <c r="AN31" s="113" t="str">
        <f t="shared" si="174"/>
        <v/>
      </c>
      <c r="AO31" s="113" t="str">
        <f t="shared" si="175"/>
        <v/>
      </c>
      <c r="AP31" s="113" t="str">
        <f t="shared" si="176"/>
        <v/>
      </c>
      <c r="AQ31" s="113" t="str">
        <f t="shared" si="177"/>
        <v/>
      </c>
      <c r="AR31" s="113" t="str">
        <f t="shared" si="178"/>
        <v/>
      </c>
      <c r="AS31" s="113" t="str">
        <f t="shared" si="179"/>
        <v/>
      </c>
      <c r="AT31" s="113" t="str">
        <f t="shared" si="180"/>
        <v/>
      </c>
      <c r="AU31" s="113" t="str">
        <f t="shared" si="181"/>
        <v/>
      </c>
      <c r="AV31" s="113" t="str">
        <f t="shared" si="182"/>
        <v/>
      </c>
      <c r="AW31" s="113" t="str">
        <f t="shared" si="183"/>
        <v/>
      </c>
      <c r="AX31" s="113" t="str">
        <f t="shared" si="184"/>
        <v/>
      </c>
      <c r="AY31" s="113" t="str">
        <f t="shared" si="185"/>
        <v/>
      </c>
      <c r="AZ31" s="113" t="str">
        <f t="shared" si="186"/>
        <v/>
      </c>
      <c r="BA31" s="113" t="str">
        <f t="shared" si="187"/>
        <v/>
      </c>
      <c r="BB31" s="113" t="str">
        <f t="shared" si="188"/>
        <v/>
      </c>
      <c r="BC31" s="113" t="str">
        <f t="shared" si="189"/>
        <v/>
      </c>
      <c r="BD31" s="113" t="str">
        <f t="shared" si="190"/>
        <v/>
      </c>
      <c r="BE31" s="113" t="str">
        <f t="shared" si="191"/>
        <v/>
      </c>
      <c r="BF31" s="113" t="str">
        <f t="shared" si="192"/>
        <v/>
      </c>
      <c r="BG31" s="113" t="str">
        <f t="shared" si="193"/>
        <v/>
      </c>
      <c r="BH31" s="113" t="str">
        <f t="shared" si="194"/>
        <v/>
      </c>
      <c r="BI31" s="113" t="str">
        <f t="shared" si="195"/>
        <v/>
      </c>
      <c r="BJ31" s="113" t="str">
        <f t="shared" si="196"/>
        <v/>
      </c>
      <c r="BK31" s="113" t="str">
        <f t="shared" si="197"/>
        <v/>
      </c>
      <c r="BL31" s="113" t="str">
        <f t="shared" si="198"/>
        <v/>
      </c>
      <c r="BM31" s="113" t="str">
        <f t="shared" si="199"/>
        <v/>
      </c>
      <c r="BN31" s="113" t="str">
        <f t="shared" si="200"/>
        <v/>
      </c>
      <c r="BO31" s="113" t="str">
        <f t="shared" si="201"/>
        <v/>
      </c>
      <c r="BP31" s="113" t="str">
        <f t="shared" si="202"/>
        <v/>
      </c>
      <c r="BQ31" s="113" t="str">
        <f t="shared" si="203"/>
        <v/>
      </c>
      <c r="BR31" s="113" t="str">
        <f t="shared" si="22"/>
        <v/>
      </c>
      <c r="BS31" s="113" t="str">
        <f t="shared" si="23"/>
        <v/>
      </c>
      <c r="BT31" s="113" t="str">
        <f t="shared" si="24"/>
        <v/>
      </c>
      <c r="BU31" s="113" t="str">
        <f t="shared" si="25"/>
        <v/>
      </c>
      <c r="BV31" s="113" t="str">
        <f t="shared" si="26"/>
        <v/>
      </c>
      <c r="BW31" s="113" t="str">
        <f t="shared" si="27"/>
        <v/>
      </c>
      <c r="BX31" s="113" t="str">
        <f t="shared" si="28"/>
        <v/>
      </c>
      <c r="BY31" s="113" t="str">
        <f t="shared" si="29"/>
        <v/>
      </c>
      <c r="BZ31" s="113" t="str">
        <f t="shared" si="30"/>
        <v/>
      </c>
      <c r="CA31" s="113" t="str">
        <f t="shared" si="31"/>
        <v/>
      </c>
      <c r="CB31" s="113" t="str">
        <f t="shared" si="32"/>
        <v/>
      </c>
      <c r="CC31" s="113" t="str">
        <f t="shared" si="33"/>
        <v/>
      </c>
      <c r="CD31" s="113" t="str">
        <f t="shared" si="34"/>
        <v/>
      </c>
      <c r="CE31" s="113" t="str">
        <f t="shared" si="35"/>
        <v/>
      </c>
      <c r="CF31" s="113" t="str">
        <f t="shared" si="36"/>
        <v/>
      </c>
      <c r="CG31" s="113" t="str">
        <f t="shared" si="37"/>
        <v/>
      </c>
      <c r="CH31" s="113" t="str">
        <f t="shared" si="38"/>
        <v/>
      </c>
      <c r="CI31" s="113" t="str">
        <f t="shared" si="39"/>
        <v/>
      </c>
      <c r="CJ31" s="113" t="str">
        <f t="shared" si="40"/>
        <v/>
      </c>
      <c r="CK31" s="113" t="str">
        <f t="shared" si="41"/>
        <v/>
      </c>
      <c r="CL31" s="113" t="str">
        <f t="shared" si="42"/>
        <v/>
      </c>
      <c r="CM31" s="113" t="str">
        <f t="shared" si="43"/>
        <v/>
      </c>
      <c r="CN31" s="113" t="str">
        <f t="shared" si="44"/>
        <v/>
      </c>
      <c r="CO31" s="113" t="str">
        <f t="shared" si="45"/>
        <v/>
      </c>
      <c r="CP31" s="113" t="str">
        <f t="shared" si="46"/>
        <v/>
      </c>
      <c r="CQ31" s="113" t="str">
        <f t="shared" si="47"/>
        <v/>
      </c>
      <c r="CR31" s="113" t="str">
        <f t="shared" si="48"/>
        <v/>
      </c>
      <c r="CS31" s="113" t="str">
        <f t="shared" si="49"/>
        <v/>
      </c>
      <c r="CT31" s="113" t="str">
        <f t="shared" si="50"/>
        <v/>
      </c>
      <c r="CU31" s="113" t="str">
        <f t="shared" si="51"/>
        <v/>
      </c>
      <c r="CV31" s="113" t="str">
        <f t="shared" si="52"/>
        <v/>
      </c>
      <c r="CW31" s="113" t="str">
        <f t="shared" si="53"/>
        <v/>
      </c>
      <c r="CX31" s="113" t="str">
        <f t="shared" si="54"/>
        <v/>
      </c>
      <c r="CY31" s="113" t="str">
        <f t="shared" si="55"/>
        <v/>
      </c>
      <c r="CZ31" s="113" t="str">
        <f t="shared" si="56"/>
        <v/>
      </c>
      <c r="DA31" s="113" t="str">
        <f t="shared" si="57"/>
        <v/>
      </c>
      <c r="DB31" s="113" t="str">
        <f t="shared" si="58"/>
        <v/>
      </c>
      <c r="DC31" s="113" t="str">
        <f t="shared" si="59"/>
        <v/>
      </c>
      <c r="DD31" s="113" t="str">
        <f t="shared" si="60"/>
        <v/>
      </c>
      <c r="DE31" s="113" t="str">
        <f t="shared" si="61"/>
        <v/>
      </c>
      <c r="DF31" s="113" t="str">
        <f t="shared" si="62"/>
        <v/>
      </c>
      <c r="DG31" s="113" t="str">
        <f t="shared" si="63"/>
        <v/>
      </c>
      <c r="DH31" s="113" t="str">
        <f t="shared" si="64"/>
        <v/>
      </c>
      <c r="DI31" s="113" t="str">
        <f t="shared" si="65"/>
        <v/>
      </c>
      <c r="DJ31" s="113" t="str">
        <f t="shared" si="66"/>
        <v/>
      </c>
      <c r="DK31" s="113" t="str">
        <f t="shared" si="67"/>
        <v/>
      </c>
      <c r="DL31" s="113" t="str">
        <f t="shared" si="68"/>
        <v/>
      </c>
      <c r="DM31" s="113" t="str">
        <f t="shared" si="69"/>
        <v/>
      </c>
      <c r="DN31" s="113" t="str">
        <f t="shared" si="70"/>
        <v/>
      </c>
      <c r="DO31" s="113" t="str">
        <f t="shared" si="71"/>
        <v/>
      </c>
      <c r="DP31" s="113" t="str">
        <f t="shared" si="72"/>
        <v/>
      </c>
      <c r="DQ31" s="113" t="str">
        <f t="shared" si="73"/>
        <v/>
      </c>
      <c r="DR31" s="113" t="str">
        <f t="shared" si="74"/>
        <v/>
      </c>
      <c r="DS31" s="113" t="str">
        <f t="shared" si="75"/>
        <v/>
      </c>
      <c r="DT31" s="113" t="str">
        <f t="shared" si="76"/>
        <v/>
      </c>
      <c r="DU31" s="113" t="str">
        <f t="shared" si="77"/>
        <v/>
      </c>
      <c r="DV31" s="113" t="str">
        <f t="shared" si="78"/>
        <v/>
      </c>
      <c r="DW31" s="113" t="str">
        <f t="shared" si="79"/>
        <v/>
      </c>
      <c r="DX31" s="113" t="str">
        <f t="shared" si="80"/>
        <v/>
      </c>
      <c r="DY31" s="113" t="str">
        <f t="shared" si="81"/>
        <v/>
      </c>
      <c r="DZ31" s="113" t="str">
        <f t="shared" si="82"/>
        <v/>
      </c>
      <c r="EA31" s="113" t="str">
        <f t="shared" si="83"/>
        <v/>
      </c>
      <c r="EB31" s="113" t="str">
        <f t="shared" si="84"/>
        <v/>
      </c>
      <c r="EC31" s="113" t="str">
        <f t="shared" si="85"/>
        <v/>
      </c>
      <c r="ED31" s="113" t="str">
        <f t="shared" si="86"/>
        <v/>
      </c>
      <c r="EE31" s="113" t="str">
        <f t="shared" si="87"/>
        <v/>
      </c>
      <c r="EF31" s="113" t="str">
        <f t="shared" si="88"/>
        <v/>
      </c>
      <c r="EG31" s="113" t="str">
        <f t="shared" si="89"/>
        <v/>
      </c>
      <c r="EH31" s="113" t="str">
        <f t="shared" si="90"/>
        <v/>
      </c>
      <c r="EI31" s="113" t="str">
        <f t="shared" si="91"/>
        <v/>
      </c>
      <c r="EJ31" s="113" t="str">
        <f t="shared" si="92"/>
        <v/>
      </c>
      <c r="EK31" s="113" t="str">
        <f t="shared" si="93"/>
        <v/>
      </c>
      <c r="EL31" s="113" t="str">
        <f t="shared" si="94"/>
        <v/>
      </c>
      <c r="EM31" s="113" t="str">
        <f t="shared" si="95"/>
        <v/>
      </c>
      <c r="EN31" s="113" t="str">
        <f t="shared" si="96"/>
        <v/>
      </c>
      <c r="EO31" s="113" t="str">
        <f t="shared" si="97"/>
        <v/>
      </c>
      <c r="EP31" s="113" t="str">
        <f t="shared" si="98"/>
        <v/>
      </c>
      <c r="EQ31" s="113" t="str">
        <f t="shared" si="99"/>
        <v/>
      </c>
      <c r="ER31" s="113" t="str">
        <f t="shared" si="100"/>
        <v/>
      </c>
      <c r="ES31" s="113" t="str">
        <f t="shared" si="101"/>
        <v/>
      </c>
      <c r="ET31" s="660" t="str">
        <f t="shared" si="102"/>
        <v/>
      </c>
      <c r="EU31" s="660" t="str">
        <f t="shared" si="103"/>
        <v/>
      </c>
      <c r="EV31" s="660" t="str">
        <f t="shared" si="104"/>
        <v/>
      </c>
      <c r="EW31" s="660" t="str">
        <f t="shared" si="105"/>
        <v/>
      </c>
      <c r="EX31" s="660" t="str">
        <f t="shared" si="106"/>
        <v/>
      </c>
      <c r="EY31" s="660" t="str">
        <f t="shared" si="107"/>
        <v/>
      </c>
      <c r="EZ31" s="660" t="str">
        <f t="shared" si="108"/>
        <v/>
      </c>
      <c r="FA31" s="660" t="str">
        <f t="shared" si="109"/>
        <v/>
      </c>
      <c r="FB31" s="660" t="str">
        <f t="shared" si="110"/>
        <v/>
      </c>
      <c r="FC31" s="660" t="str">
        <f t="shared" si="111"/>
        <v/>
      </c>
      <c r="FD31" s="660" t="str">
        <f t="shared" si="112"/>
        <v/>
      </c>
      <c r="FE31" s="660" t="str">
        <f t="shared" si="113"/>
        <v/>
      </c>
      <c r="FF31" s="660" t="str">
        <f t="shared" si="114"/>
        <v/>
      </c>
      <c r="FG31" s="660" t="str">
        <f t="shared" si="115"/>
        <v/>
      </c>
      <c r="FH31" s="660" t="str">
        <f t="shared" si="116"/>
        <v/>
      </c>
      <c r="FI31" s="660" t="str">
        <f t="shared" si="117"/>
        <v/>
      </c>
      <c r="FJ31" s="660" t="str">
        <f t="shared" si="118"/>
        <v/>
      </c>
      <c r="FK31" s="660" t="str">
        <f t="shared" si="119"/>
        <v/>
      </c>
      <c r="FL31" s="660" t="str">
        <f t="shared" si="120"/>
        <v/>
      </c>
      <c r="FM31" s="660" t="str">
        <f t="shared" si="121"/>
        <v/>
      </c>
      <c r="FN31" s="660" t="str">
        <f t="shared" si="122"/>
        <v/>
      </c>
      <c r="FO31" s="660" t="str">
        <f t="shared" si="123"/>
        <v/>
      </c>
      <c r="FP31" s="660" t="str">
        <f t="shared" si="124"/>
        <v/>
      </c>
      <c r="FQ31" s="660" t="str">
        <f t="shared" si="125"/>
        <v/>
      </c>
      <c r="FR31" s="660" t="str">
        <f t="shared" si="126"/>
        <v/>
      </c>
      <c r="FS31" s="660" t="str">
        <f t="shared" si="127"/>
        <v/>
      </c>
      <c r="FT31" s="660" t="str">
        <f t="shared" si="128"/>
        <v/>
      </c>
      <c r="FU31" s="660" t="str">
        <f t="shared" si="129"/>
        <v/>
      </c>
      <c r="FV31" s="660" t="str">
        <f t="shared" si="130"/>
        <v/>
      </c>
      <c r="FW31" s="660" t="str">
        <f t="shared" si="131"/>
        <v/>
      </c>
      <c r="FX31" s="660" t="str">
        <f t="shared" si="132"/>
        <v/>
      </c>
      <c r="FY31" s="660" t="str">
        <f t="shared" si="133"/>
        <v/>
      </c>
      <c r="FZ31" s="660" t="str">
        <f t="shared" si="134"/>
        <v/>
      </c>
      <c r="GA31" s="660" t="str">
        <f t="shared" si="135"/>
        <v/>
      </c>
      <c r="GB31" s="660" t="str">
        <f t="shared" si="136"/>
        <v/>
      </c>
      <c r="GC31" s="660" t="str">
        <f t="shared" si="137"/>
        <v/>
      </c>
      <c r="GD31" s="660" t="str">
        <f t="shared" si="138"/>
        <v/>
      </c>
      <c r="GE31" s="660" t="str">
        <f t="shared" si="139"/>
        <v/>
      </c>
      <c r="GF31" s="660" t="str">
        <f t="shared" si="140"/>
        <v/>
      </c>
      <c r="GG31" s="660" t="str">
        <f t="shared" si="141"/>
        <v/>
      </c>
      <c r="GH31" s="660" t="str">
        <f t="shared" si="142"/>
        <v/>
      </c>
      <c r="GI31" s="660" t="str">
        <f t="shared" si="143"/>
        <v/>
      </c>
      <c r="GJ31" s="660" t="str">
        <f t="shared" si="144"/>
        <v/>
      </c>
      <c r="GK31" s="660" t="str">
        <f t="shared" si="145"/>
        <v/>
      </c>
      <c r="GL31" s="660" t="str">
        <f t="shared" si="146"/>
        <v/>
      </c>
      <c r="GM31" s="661" t="str">
        <f t="shared" si="147"/>
        <v/>
      </c>
      <c r="GN31" s="661" t="str">
        <f t="shared" si="148"/>
        <v/>
      </c>
      <c r="GO31" s="661" t="str">
        <f t="shared" si="149"/>
        <v/>
      </c>
      <c r="GP31" s="661" t="str">
        <f t="shared" si="150"/>
        <v/>
      </c>
      <c r="GQ31" s="661" t="str">
        <f t="shared" si="151"/>
        <v/>
      </c>
      <c r="GR31" s="113" t="str">
        <f t="shared" si="152"/>
        <v/>
      </c>
      <c r="GS31" s="113" t="str">
        <f t="shared" si="153"/>
        <v/>
      </c>
      <c r="GT31" s="113" t="str">
        <f t="shared" si="154"/>
        <v/>
      </c>
      <c r="GU31" s="113" t="str">
        <f t="shared" si="155"/>
        <v/>
      </c>
      <c r="GV31" s="113" t="str">
        <f t="shared" si="156"/>
        <v/>
      </c>
      <c r="GW31" s="113" t="str">
        <f t="shared" si="157"/>
        <v/>
      </c>
      <c r="GX31" s="113" t="str">
        <f t="shared" si="158"/>
        <v/>
      </c>
      <c r="GY31" s="113" t="str">
        <f t="shared" si="159"/>
        <v/>
      </c>
      <c r="GZ31" s="113" t="str">
        <f t="shared" si="160"/>
        <v/>
      </c>
      <c r="HA31" s="113" t="str">
        <f t="shared" si="161"/>
        <v/>
      </c>
      <c r="HB31" s="113" t="str">
        <f t="shared" si="162"/>
        <v/>
      </c>
      <c r="HC31" s="113" t="str">
        <f t="shared" si="163"/>
        <v/>
      </c>
      <c r="HD31" s="113" t="str">
        <f t="shared" si="164"/>
        <v/>
      </c>
      <c r="HE31" s="113" t="str">
        <f t="shared" si="165"/>
        <v/>
      </c>
      <c r="HF31" s="113" t="str">
        <f t="shared" si="166"/>
        <v/>
      </c>
      <c r="HG31" s="113" t="str">
        <f t="shared" si="167"/>
        <v/>
      </c>
      <c r="HH31" s="113" t="str">
        <f t="shared" si="168"/>
        <v/>
      </c>
      <c r="HI31" s="113" t="str">
        <f t="shared" si="169"/>
        <v/>
      </c>
      <c r="HJ31" s="113" t="str">
        <f t="shared" si="170"/>
        <v/>
      </c>
      <c r="HK31" s="113" t="str">
        <f t="shared" si="171"/>
        <v/>
      </c>
    </row>
    <row r="32" spans="1:219" ht="13.2" customHeight="1">
      <c r="A32" s="146" t="str">
        <f t="shared" si="172"/>
        <v/>
      </c>
      <c r="B32" s="836"/>
      <c r="C32" s="837"/>
      <c r="D32" s="838"/>
      <c r="E32" s="839"/>
      <c r="F32" s="839"/>
      <c r="G32" s="839"/>
      <c r="H32" s="839"/>
      <c r="I32" s="839"/>
      <c r="J32" s="840"/>
      <c r="K32" s="227">
        <f t="shared" si="408"/>
        <v>0</v>
      </c>
      <c r="L32" s="227">
        <f t="shared" si="0"/>
        <v>0</v>
      </c>
      <c r="M32" s="841"/>
      <c r="N32" s="841"/>
      <c r="O32" s="841"/>
      <c r="P32" s="581" t="str">
        <f t="shared" si="407"/>
        <v/>
      </c>
      <c r="Q32" s="582" t="str">
        <f>IF(H32="","",P32/($P$6*VLOOKUP(C32,'DCA Underwriting Assumptions'!$J$77:$K$82,2,FALSE)))</f>
        <v/>
      </c>
      <c r="R32" s="739"/>
      <c r="S32" s="659"/>
      <c r="T32" s="113" t="str">
        <f t="shared" si="2"/>
        <v/>
      </c>
      <c r="U32" s="113" t="str">
        <f t="shared" si="3"/>
        <v/>
      </c>
      <c r="V32" s="113" t="str">
        <f t="shared" si="4"/>
        <v/>
      </c>
      <c r="W32" s="113" t="str">
        <f t="shared" si="5"/>
        <v/>
      </c>
      <c r="X32" s="113" t="str">
        <f t="shared" si="6"/>
        <v/>
      </c>
      <c r="Y32" s="113" t="str">
        <f t="shared" si="7"/>
        <v/>
      </c>
      <c r="Z32" s="113" t="str">
        <f t="shared" si="8"/>
        <v/>
      </c>
      <c r="AA32" s="113" t="str">
        <f t="shared" si="9"/>
        <v/>
      </c>
      <c r="AB32" s="113" t="str">
        <f t="shared" si="10"/>
        <v/>
      </c>
      <c r="AC32" s="113" t="str">
        <f t="shared" si="11"/>
        <v/>
      </c>
      <c r="AD32" s="113" t="str">
        <f t="shared" si="12"/>
        <v/>
      </c>
      <c r="AE32" s="113" t="str">
        <f t="shared" si="13"/>
        <v/>
      </c>
      <c r="AF32" s="113" t="str">
        <f t="shared" si="14"/>
        <v/>
      </c>
      <c r="AG32" s="113" t="str">
        <f t="shared" si="15"/>
        <v/>
      </c>
      <c r="AH32" s="113" t="str">
        <f t="shared" si="16"/>
        <v/>
      </c>
      <c r="AI32" s="113" t="str">
        <f t="shared" si="17"/>
        <v/>
      </c>
      <c r="AJ32" s="113" t="str">
        <f t="shared" si="18"/>
        <v/>
      </c>
      <c r="AK32" s="113" t="str">
        <f t="shared" si="19"/>
        <v/>
      </c>
      <c r="AL32" s="113" t="str">
        <f t="shared" si="20"/>
        <v/>
      </c>
      <c r="AM32" s="113" t="str">
        <f t="shared" si="21"/>
        <v/>
      </c>
      <c r="AN32" s="113" t="str">
        <f t="shared" si="174"/>
        <v/>
      </c>
      <c r="AO32" s="113" t="str">
        <f t="shared" si="175"/>
        <v/>
      </c>
      <c r="AP32" s="113" t="str">
        <f t="shared" si="176"/>
        <v/>
      </c>
      <c r="AQ32" s="113" t="str">
        <f t="shared" si="177"/>
        <v/>
      </c>
      <c r="AR32" s="113" t="str">
        <f t="shared" si="178"/>
        <v/>
      </c>
      <c r="AS32" s="113" t="str">
        <f t="shared" si="179"/>
        <v/>
      </c>
      <c r="AT32" s="113" t="str">
        <f t="shared" si="180"/>
        <v/>
      </c>
      <c r="AU32" s="113" t="str">
        <f t="shared" si="181"/>
        <v/>
      </c>
      <c r="AV32" s="113" t="str">
        <f t="shared" si="182"/>
        <v/>
      </c>
      <c r="AW32" s="113" t="str">
        <f t="shared" si="183"/>
        <v/>
      </c>
      <c r="AX32" s="113" t="str">
        <f t="shared" si="184"/>
        <v/>
      </c>
      <c r="AY32" s="113" t="str">
        <f t="shared" si="185"/>
        <v/>
      </c>
      <c r="AZ32" s="113" t="str">
        <f t="shared" si="186"/>
        <v/>
      </c>
      <c r="BA32" s="113" t="str">
        <f t="shared" si="187"/>
        <v/>
      </c>
      <c r="BB32" s="113" t="str">
        <f t="shared" si="188"/>
        <v/>
      </c>
      <c r="BC32" s="113" t="str">
        <f t="shared" si="189"/>
        <v/>
      </c>
      <c r="BD32" s="113" t="str">
        <f t="shared" si="190"/>
        <v/>
      </c>
      <c r="BE32" s="113" t="str">
        <f t="shared" si="191"/>
        <v/>
      </c>
      <c r="BF32" s="113" t="str">
        <f t="shared" si="192"/>
        <v/>
      </c>
      <c r="BG32" s="113" t="str">
        <f t="shared" si="193"/>
        <v/>
      </c>
      <c r="BH32" s="113" t="str">
        <f t="shared" si="194"/>
        <v/>
      </c>
      <c r="BI32" s="113" t="str">
        <f t="shared" si="195"/>
        <v/>
      </c>
      <c r="BJ32" s="113" t="str">
        <f t="shared" si="196"/>
        <v/>
      </c>
      <c r="BK32" s="113" t="str">
        <f t="shared" si="197"/>
        <v/>
      </c>
      <c r="BL32" s="113" t="str">
        <f t="shared" si="198"/>
        <v/>
      </c>
      <c r="BM32" s="113" t="str">
        <f t="shared" si="199"/>
        <v/>
      </c>
      <c r="BN32" s="113" t="str">
        <f t="shared" si="200"/>
        <v/>
      </c>
      <c r="BO32" s="113" t="str">
        <f t="shared" si="201"/>
        <v/>
      </c>
      <c r="BP32" s="113" t="str">
        <f t="shared" si="202"/>
        <v/>
      </c>
      <c r="BQ32" s="113" t="str">
        <f t="shared" si="203"/>
        <v/>
      </c>
      <c r="BR32" s="113" t="str">
        <f t="shared" si="22"/>
        <v/>
      </c>
      <c r="BS32" s="113" t="str">
        <f t="shared" si="23"/>
        <v/>
      </c>
      <c r="BT32" s="113" t="str">
        <f t="shared" si="24"/>
        <v/>
      </c>
      <c r="BU32" s="113" t="str">
        <f t="shared" si="25"/>
        <v/>
      </c>
      <c r="BV32" s="113" t="str">
        <f t="shared" si="26"/>
        <v/>
      </c>
      <c r="BW32" s="113" t="str">
        <f t="shared" si="27"/>
        <v/>
      </c>
      <c r="BX32" s="113" t="str">
        <f t="shared" si="28"/>
        <v/>
      </c>
      <c r="BY32" s="113" t="str">
        <f t="shared" si="29"/>
        <v/>
      </c>
      <c r="BZ32" s="113" t="str">
        <f t="shared" si="30"/>
        <v/>
      </c>
      <c r="CA32" s="113" t="str">
        <f t="shared" si="31"/>
        <v/>
      </c>
      <c r="CB32" s="113" t="str">
        <f t="shared" si="32"/>
        <v/>
      </c>
      <c r="CC32" s="113" t="str">
        <f t="shared" si="33"/>
        <v/>
      </c>
      <c r="CD32" s="113" t="str">
        <f t="shared" si="34"/>
        <v/>
      </c>
      <c r="CE32" s="113" t="str">
        <f t="shared" si="35"/>
        <v/>
      </c>
      <c r="CF32" s="113" t="str">
        <f t="shared" si="36"/>
        <v/>
      </c>
      <c r="CG32" s="113" t="str">
        <f t="shared" si="37"/>
        <v/>
      </c>
      <c r="CH32" s="113" t="str">
        <f t="shared" si="38"/>
        <v/>
      </c>
      <c r="CI32" s="113" t="str">
        <f t="shared" si="39"/>
        <v/>
      </c>
      <c r="CJ32" s="113" t="str">
        <f t="shared" si="40"/>
        <v/>
      </c>
      <c r="CK32" s="113" t="str">
        <f t="shared" si="41"/>
        <v/>
      </c>
      <c r="CL32" s="113" t="str">
        <f t="shared" si="42"/>
        <v/>
      </c>
      <c r="CM32" s="113" t="str">
        <f t="shared" si="43"/>
        <v/>
      </c>
      <c r="CN32" s="113" t="str">
        <f t="shared" si="44"/>
        <v/>
      </c>
      <c r="CO32" s="113" t="str">
        <f t="shared" si="45"/>
        <v/>
      </c>
      <c r="CP32" s="113" t="str">
        <f t="shared" si="46"/>
        <v/>
      </c>
      <c r="CQ32" s="113" t="str">
        <f t="shared" si="47"/>
        <v/>
      </c>
      <c r="CR32" s="113" t="str">
        <f t="shared" si="48"/>
        <v/>
      </c>
      <c r="CS32" s="113" t="str">
        <f t="shared" si="49"/>
        <v/>
      </c>
      <c r="CT32" s="113" t="str">
        <f t="shared" si="50"/>
        <v/>
      </c>
      <c r="CU32" s="113" t="str">
        <f t="shared" si="51"/>
        <v/>
      </c>
      <c r="CV32" s="113" t="str">
        <f t="shared" si="52"/>
        <v/>
      </c>
      <c r="CW32" s="113" t="str">
        <f t="shared" si="53"/>
        <v/>
      </c>
      <c r="CX32" s="113" t="str">
        <f t="shared" si="54"/>
        <v/>
      </c>
      <c r="CY32" s="113" t="str">
        <f t="shared" si="55"/>
        <v/>
      </c>
      <c r="CZ32" s="113" t="str">
        <f t="shared" si="56"/>
        <v/>
      </c>
      <c r="DA32" s="113" t="str">
        <f t="shared" si="57"/>
        <v/>
      </c>
      <c r="DB32" s="113" t="str">
        <f t="shared" si="58"/>
        <v/>
      </c>
      <c r="DC32" s="113" t="str">
        <f t="shared" si="59"/>
        <v/>
      </c>
      <c r="DD32" s="113" t="str">
        <f t="shared" si="60"/>
        <v/>
      </c>
      <c r="DE32" s="113" t="str">
        <f t="shared" si="61"/>
        <v/>
      </c>
      <c r="DF32" s="113" t="str">
        <f t="shared" si="62"/>
        <v/>
      </c>
      <c r="DG32" s="113" t="str">
        <f t="shared" si="63"/>
        <v/>
      </c>
      <c r="DH32" s="113" t="str">
        <f t="shared" si="64"/>
        <v/>
      </c>
      <c r="DI32" s="113" t="str">
        <f t="shared" si="65"/>
        <v/>
      </c>
      <c r="DJ32" s="113" t="str">
        <f t="shared" si="66"/>
        <v/>
      </c>
      <c r="DK32" s="113" t="str">
        <f t="shared" si="67"/>
        <v/>
      </c>
      <c r="DL32" s="113" t="str">
        <f t="shared" si="68"/>
        <v/>
      </c>
      <c r="DM32" s="113" t="str">
        <f t="shared" si="69"/>
        <v/>
      </c>
      <c r="DN32" s="113" t="str">
        <f t="shared" si="70"/>
        <v/>
      </c>
      <c r="DO32" s="113" t="str">
        <f t="shared" si="71"/>
        <v/>
      </c>
      <c r="DP32" s="113" t="str">
        <f t="shared" si="72"/>
        <v/>
      </c>
      <c r="DQ32" s="113" t="str">
        <f t="shared" si="73"/>
        <v/>
      </c>
      <c r="DR32" s="113" t="str">
        <f t="shared" si="74"/>
        <v/>
      </c>
      <c r="DS32" s="113" t="str">
        <f t="shared" si="75"/>
        <v/>
      </c>
      <c r="DT32" s="113" t="str">
        <f t="shared" si="76"/>
        <v/>
      </c>
      <c r="DU32" s="113" t="str">
        <f t="shared" si="77"/>
        <v/>
      </c>
      <c r="DV32" s="113" t="str">
        <f t="shared" si="78"/>
        <v/>
      </c>
      <c r="DW32" s="113" t="str">
        <f t="shared" si="79"/>
        <v/>
      </c>
      <c r="DX32" s="113" t="str">
        <f t="shared" si="80"/>
        <v/>
      </c>
      <c r="DY32" s="113" t="str">
        <f t="shared" si="81"/>
        <v/>
      </c>
      <c r="DZ32" s="113" t="str">
        <f t="shared" si="82"/>
        <v/>
      </c>
      <c r="EA32" s="113" t="str">
        <f t="shared" si="83"/>
        <v/>
      </c>
      <c r="EB32" s="113" t="str">
        <f t="shared" si="84"/>
        <v/>
      </c>
      <c r="EC32" s="113" t="str">
        <f t="shared" si="85"/>
        <v/>
      </c>
      <c r="ED32" s="113" t="str">
        <f t="shared" si="86"/>
        <v/>
      </c>
      <c r="EE32" s="113" t="str">
        <f t="shared" si="87"/>
        <v/>
      </c>
      <c r="EF32" s="113" t="str">
        <f t="shared" si="88"/>
        <v/>
      </c>
      <c r="EG32" s="113" t="str">
        <f t="shared" si="89"/>
        <v/>
      </c>
      <c r="EH32" s="113" t="str">
        <f t="shared" si="90"/>
        <v/>
      </c>
      <c r="EI32" s="113" t="str">
        <f t="shared" si="91"/>
        <v/>
      </c>
      <c r="EJ32" s="113" t="str">
        <f t="shared" si="92"/>
        <v/>
      </c>
      <c r="EK32" s="113" t="str">
        <f t="shared" si="93"/>
        <v/>
      </c>
      <c r="EL32" s="113" t="str">
        <f t="shared" si="94"/>
        <v/>
      </c>
      <c r="EM32" s="113" t="str">
        <f t="shared" si="95"/>
        <v/>
      </c>
      <c r="EN32" s="113" t="str">
        <f t="shared" si="96"/>
        <v/>
      </c>
      <c r="EO32" s="113" t="str">
        <f t="shared" si="97"/>
        <v/>
      </c>
      <c r="EP32" s="113" t="str">
        <f t="shared" si="98"/>
        <v/>
      </c>
      <c r="EQ32" s="113" t="str">
        <f t="shared" si="99"/>
        <v/>
      </c>
      <c r="ER32" s="113" t="str">
        <f t="shared" si="100"/>
        <v/>
      </c>
      <c r="ES32" s="113" t="str">
        <f t="shared" si="101"/>
        <v/>
      </c>
      <c r="ET32" s="660" t="str">
        <f t="shared" si="102"/>
        <v/>
      </c>
      <c r="EU32" s="660" t="str">
        <f t="shared" si="103"/>
        <v/>
      </c>
      <c r="EV32" s="660" t="str">
        <f t="shared" si="104"/>
        <v/>
      </c>
      <c r="EW32" s="660" t="str">
        <f t="shared" si="105"/>
        <v/>
      </c>
      <c r="EX32" s="660" t="str">
        <f t="shared" si="106"/>
        <v/>
      </c>
      <c r="EY32" s="660" t="str">
        <f t="shared" si="107"/>
        <v/>
      </c>
      <c r="EZ32" s="660" t="str">
        <f t="shared" si="108"/>
        <v/>
      </c>
      <c r="FA32" s="660" t="str">
        <f t="shared" si="109"/>
        <v/>
      </c>
      <c r="FB32" s="660" t="str">
        <f t="shared" si="110"/>
        <v/>
      </c>
      <c r="FC32" s="660" t="str">
        <f t="shared" si="111"/>
        <v/>
      </c>
      <c r="FD32" s="660" t="str">
        <f t="shared" si="112"/>
        <v/>
      </c>
      <c r="FE32" s="660" t="str">
        <f t="shared" si="113"/>
        <v/>
      </c>
      <c r="FF32" s="660" t="str">
        <f t="shared" si="114"/>
        <v/>
      </c>
      <c r="FG32" s="660" t="str">
        <f t="shared" si="115"/>
        <v/>
      </c>
      <c r="FH32" s="660" t="str">
        <f t="shared" si="116"/>
        <v/>
      </c>
      <c r="FI32" s="660" t="str">
        <f t="shared" si="117"/>
        <v/>
      </c>
      <c r="FJ32" s="660" t="str">
        <f t="shared" si="118"/>
        <v/>
      </c>
      <c r="FK32" s="660" t="str">
        <f t="shared" si="119"/>
        <v/>
      </c>
      <c r="FL32" s="660" t="str">
        <f t="shared" si="120"/>
        <v/>
      </c>
      <c r="FM32" s="660" t="str">
        <f t="shared" si="121"/>
        <v/>
      </c>
      <c r="FN32" s="660" t="str">
        <f t="shared" si="122"/>
        <v/>
      </c>
      <c r="FO32" s="660" t="str">
        <f t="shared" si="123"/>
        <v/>
      </c>
      <c r="FP32" s="660" t="str">
        <f t="shared" si="124"/>
        <v/>
      </c>
      <c r="FQ32" s="660" t="str">
        <f t="shared" si="125"/>
        <v/>
      </c>
      <c r="FR32" s="660" t="str">
        <f t="shared" si="126"/>
        <v/>
      </c>
      <c r="FS32" s="660" t="str">
        <f t="shared" si="127"/>
        <v/>
      </c>
      <c r="FT32" s="660" t="str">
        <f t="shared" si="128"/>
        <v/>
      </c>
      <c r="FU32" s="660" t="str">
        <f t="shared" si="129"/>
        <v/>
      </c>
      <c r="FV32" s="660" t="str">
        <f t="shared" si="130"/>
        <v/>
      </c>
      <c r="FW32" s="660" t="str">
        <f t="shared" si="131"/>
        <v/>
      </c>
      <c r="FX32" s="660" t="str">
        <f t="shared" si="132"/>
        <v/>
      </c>
      <c r="FY32" s="660" t="str">
        <f t="shared" si="133"/>
        <v/>
      </c>
      <c r="FZ32" s="660" t="str">
        <f t="shared" si="134"/>
        <v/>
      </c>
      <c r="GA32" s="660" t="str">
        <f t="shared" si="135"/>
        <v/>
      </c>
      <c r="GB32" s="660" t="str">
        <f t="shared" si="136"/>
        <v/>
      </c>
      <c r="GC32" s="660" t="str">
        <f t="shared" si="137"/>
        <v/>
      </c>
      <c r="GD32" s="660" t="str">
        <f t="shared" si="138"/>
        <v/>
      </c>
      <c r="GE32" s="660" t="str">
        <f t="shared" si="139"/>
        <v/>
      </c>
      <c r="GF32" s="660" t="str">
        <f t="shared" si="140"/>
        <v/>
      </c>
      <c r="GG32" s="660" t="str">
        <f t="shared" si="141"/>
        <v/>
      </c>
      <c r="GH32" s="660" t="str">
        <f t="shared" si="142"/>
        <v/>
      </c>
      <c r="GI32" s="660" t="str">
        <f t="shared" si="143"/>
        <v/>
      </c>
      <c r="GJ32" s="660" t="str">
        <f t="shared" si="144"/>
        <v/>
      </c>
      <c r="GK32" s="660" t="str">
        <f t="shared" si="145"/>
        <v/>
      </c>
      <c r="GL32" s="660" t="str">
        <f t="shared" si="146"/>
        <v/>
      </c>
      <c r="GM32" s="661" t="str">
        <f t="shared" si="147"/>
        <v/>
      </c>
      <c r="GN32" s="661" t="str">
        <f t="shared" si="148"/>
        <v/>
      </c>
      <c r="GO32" s="661" t="str">
        <f t="shared" si="149"/>
        <v/>
      </c>
      <c r="GP32" s="661" t="str">
        <f t="shared" si="150"/>
        <v/>
      </c>
      <c r="GQ32" s="661" t="str">
        <f t="shared" si="151"/>
        <v/>
      </c>
      <c r="GR32" s="113" t="str">
        <f t="shared" si="152"/>
        <v/>
      </c>
      <c r="GS32" s="113" t="str">
        <f t="shared" si="153"/>
        <v/>
      </c>
      <c r="GT32" s="113" t="str">
        <f t="shared" si="154"/>
        <v/>
      </c>
      <c r="GU32" s="113" t="str">
        <f t="shared" si="155"/>
        <v/>
      </c>
      <c r="GV32" s="113" t="str">
        <f t="shared" si="156"/>
        <v/>
      </c>
      <c r="GW32" s="113" t="str">
        <f t="shared" si="157"/>
        <v/>
      </c>
      <c r="GX32" s="113" t="str">
        <f t="shared" si="158"/>
        <v/>
      </c>
      <c r="GY32" s="113" t="str">
        <f t="shared" si="159"/>
        <v/>
      </c>
      <c r="GZ32" s="113" t="str">
        <f t="shared" si="160"/>
        <v/>
      </c>
      <c r="HA32" s="113" t="str">
        <f t="shared" si="161"/>
        <v/>
      </c>
      <c r="HB32" s="113" t="str">
        <f t="shared" si="162"/>
        <v/>
      </c>
      <c r="HC32" s="113" t="str">
        <f t="shared" si="163"/>
        <v/>
      </c>
      <c r="HD32" s="113" t="str">
        <f t="shared" si="164"/>
        <v/>
      </c>
      <c r="HE32" s="113" t="str">
        <f t="shared" si="165"/>
        <v/>
      </c>
      <c r="HF32" s="113" t="str">
        <f t="shared" si="166"/>
        <v/>
      </c>
      <c r="HG32" s="113" t="str">
        <f t="shared" si="167"/>
        <v/>
      </c>
      <c r="HH32" s="113" t="str">
        <f t="shared" si="168"/>
        <v/>
      </c>
      <c r="HI32" s="113" t="str">
        <f t="shared" si="169"/>
        <v/>
      </c>
      <c r="HJ32" s="113" t="str">
        <f t="shared" si="170"/>
        <v/>
      </c>
      <c r="HK32" s="113" t="str">
        <f t="shared" si="171"/>
        <v/>
      </c>
    </row>
    <row r="33" spans="1:219" ht="13.2" customHeight="1">
      <c r="A33" s="146" t="str">
        <f t="shared" si="172"/>
        <v/>
      </c>
      <c r="B33" s="836"/>
      <c r="C33" s="837"/>
      <c r="D33" s="838"/>
      <c r="E33" s="839"/>
      <c r="F33" s="839"/>
      <c r="G33" s="839"/>
      <c r="H33" s="839"/>
      <c r="I33" s="839"/>
      <c r="J33" s="840"/>
      <c r="K33" s="227">
        <f t="shared" si="408"/>
        <v>0</v>
      </c>
      <c r="L33" s="227">
        <f t="shared" si="0"/>
        <v>0</v>
      </c>
      <c r="M33" s="841"/>
      <c r="N33" s="841"/>
      <c r="O33" s="841"/>
      <c r="P33" s="581" t="str">
        <f t="shared" si="407"/>
        <v/>
      </c>
      <c r="Q33" s="582" t="str">
        <f>IF(H33="","",P33/($P$6*VLOOKUP(C33,'DCA Underwriting Assumptions'!$J$77:$K$82,2,FALSE)))</f>
        <v/>
      </c>
      <c r="R33" s="739"/>
      <c r="S33" s="659"/>
      <c r="T33" s="113" t="str">
        <f t="shared" si="2"/>
        <v/>
      </c>
      <c r="U33" s="113" t="str">
        <f t="shared" si="3"/>
        <v/>
      </c>
      <c r="V33" s="113" t="str">
        <f t="shared" si="4"/>
        <v/>
      </c>
      <c r="W33" s="113" t="str">
        <f t="shared" si="5"/>
        <v/>
      </c>
      <c r="X33" s="113" t="str">
        <f t="shared" si="6"/>
        <v/>
      </c>
      <c r="Y33" s="113" t="str">
        <f t="shared" si="7"/>
        <v/>
      </c>
      <c r="Z33" s="113" t="str">
        <f t="shared" si="8"/>
        <v/>
      </c>
      <c r="AA33" s="113" t="str">
        <f t="shared" si="9"/>
        <v/>
      </c>
      <c r="AB33" s="113" t="str">
        <f t="shared" si="10"/>
        <v/>
      </c>
      <c r="AC33" s="113" t="str">
        <f t="shared" si="11"/>
        <v/>
      </c>
      <c r="AD33" s="113" t="str">
        <f t="shared" si="12"/>
        <v/>
      </c>
      <c r="AE33" s="113" t="str">
        <f t="shared" si="13"/>
        <v/>
      </c>
      <c r="AF33" s="113" t="str">
        <f t="shared" si="14"/>
        <v/>
      </c>
      <c r="AG33" s="113" t="str">
        <f t="shared" si="15"/>
        <v/>
      </c>
      <c r="AH33" s="113" t="str">
        <f t="shared" si="16"/>
        <v/>
      </c>
      <c r="AI33" s="113" t="str">
        <f t="shared" si="17"/>
        <v/>
      </c>
      <c r="AJ33" s="113" t="str">
        <f t="shared" si="18"/>
        <v/>
      </c>
      <c r="AK33" s="113" t="str">
        <f t="shared" si="19"/>
        <v/>
      </c>
      <c r="AL33" s="113" t="str">
        <f t="shared" si="20"/>
        <v/>
      </c>
      <c r="AM33" s="113" t="str">
        <f t="shared" si="21"/>
        <v/>
      </c>
      <c r="AN33" s="113" t="str">
        <f t="shared" si="174"/>
        <v/>
      </c>
      <c r="AO33" s="113" t="str">
        <f t="shared" si="175"/>
        <v/>
      </c>
      <c r="AP33" s="113" t="str">
        <f t="shared" si="176"/>
        <v/>
      </c>
      <c r="AQ33" s="113" t="str">
        <f t="shared" si="177"/>
        <v/>
      </c>
      <c r="AR33" s="113" t="str">
        <f t="shared" si="178"/>
        <v/>
      </c>
      <c r="AS33" s="113" t="str">
        <f t="shared" si="179"/>
        <v/>
      </c>
      <c r="AT33" s="113" t="str">
        <f t="shared" si="180"/>
        <v/>
      </c>
      <c r="AU33" s="113" t="str">
        <f t="shared" si="181"/>
        <v/>
      </c>
      <c r="AV33" s="113" t="str">
        <f t="shared" si="182"/>
        <v/>
      </c>
      <c r="AW33" s="113" t="str">
        <f t="shared" si="183"/>
        <v/>
      </c>
      <c r="AX33" s="113" t="str">
        <f t="shared" si="184"/>
        <v/>
      </c>
      <c r="AY33" s="113" t="str">
        <f t="shared" si="185"/>
        <v/>
      </c>
      <c r="AZ33" s="113" t="str">
        <f t="shared" si="186"/>
        <v/>
      </c>
      <c r="BA33" s="113" t="str">
        <f t="shared" si="187"/>
        <v/>
      </c>
      <c r="BB33" s="113" t="str">
        <f t="shared" si="188"/>
        <v/>
      </c>
      <c r="BC33" s="113" t="str">
        <f t="shared" si="189"/>
        <v/>
      </c>
      <c r="BD33" s="113" t="str">
        <f t="shared" si="190"/>
        <v/>
      </c>
      <c r="BE33" s="113" t="str">
        <f t="shared" si="191"/>
        <v/>
      </c>
      <c r="BF33" s="113" t="str">
        <f t="shared" si="192"/>
        <v/>
      </c>
      <c r="BG33" s="113" t="str">
        <f t="shared" si="193"/>
        <v/>
      </c>
      <c r="BH33" s="113" t="str">
        <f t="shared" si="194"/>
        <v/>
      </c>
      <c r="BI33" s="113" t="str">
        <f t="shared" si="195"/>
        <v/>
      </c>
      <c r="BJ33" s="113" t="str">
        <f t="shared" si="196"/>
        <v/>
      </c>
      <c r="BK33" s="113" t="str">
        <f t="shared" si="197"/>
        <v/>
      </c>
      <c r="BL33" s="113" t="str">
        <f t="shared" si="198"/>
        <v/>
      </c>
      <c r="BM33" s="113" t="str">
        <f t="shared" si="199"/>
        <v/>
      </c>
      <c r="BN33" s="113" t="str">
        <f t="shared" si="200"/>
        <v/>
      </c>
      <c r="BO33" s="113" t="str">
        <f t="shared" si="201"/>
        <v/>
      </c>
      <c r="BP33" s="113" t="str">
        <f t="shared" si="202"/>
        <v/>
      </c>
      <c r="BQ33" s="113" t="str">
        <f t="shared" si="203"/>
        <v/>
      </c>
      <c r="BR33" s="113" t="str">
        <f t="shared" si="22"/>
        <v/>
      </c>
      <c r="BS33" s="113" t="str">
        <f t="shared" si="23"/>
        <v/>
      </c>
      <c r="BT33" s="113" t="str">
        <f t="shared" si="24"/>
        <v/>
      </c>
      <c r="BU33" s="113" t="str">
        <f t="shared" si="25"/>
        <v/>
      </c>
      <c r="BV33" s="113" t="str">
        <f t="shared" si="26"/>
        <v/>
      </c>
      <c r="BW33" s="113" t="str">
        <f t="shared" si="27"/>
        <v/>
      </c>
      <c r="BX33" s="113" t="str">
        <f t="shared" si="28"/>
        <v/>
      </c>
      <c r="BY33" s="113" t="str">
        <f t="shared" si="29"/>
        <v/>
      </c>
      <c r="BZ33" s="113" t="str">
        <f t="shared" si="30"/>
        <v/>
      </c>
      <c r="CA33" s="113" t="str">
        <f t="shared" si="31"/>
        <v/>
      </c>
      <c r="CB33" s="113" t="str">
        <f t="shared" si="32"/>
        <v/>
      </c>
      <c r="CC33" s="113" t="str">
        <f t="shared" si="33"/>
        <v/>
      </c>
      <c r="CD33" s="113" t="str">
        <f t="shared" si="34"/>
        <v/>
      </c>
      <c r="CE33" s="113" t="str">
        <f t="shared" si="35"/>
        <v/>
      </c>
      <c r="CF33" s="113" t="str">
        <f t="shared" si="36"/>
        <v/>
      </c>
      <c r="CG33" s="113" t="str">
        <f t="shared" si="37"/>
        <v/>
      </c>
      <c r="CH33" s="113" t="str">
        <f t="shared" si="38"/>
        <v/>
      </c>
      <c r="CI33" s="113" t="str">
        <f t="shared" si="39"/>
        <v/>
      </c>
      <c r="CJ33" s="113" t="str">
        <f t="shared" si="40"/>
        <v/>
      </c>
      <c r="CK33" s="113" t="str">
        <f t="shared" si="41"/>
        <v/>
      </c>
      <c r="CL33" s="113" t="str">
        <f t="shared" si="42"/>
        <v/>
      </c>
      <c r="CM33" s="113" t="str">
        <f t="shared" si="43"/>
        <v/>
      </c>
      <c r="CN33" s="113" t="str">
        <f t="shared" si="44"/>
        <v/>
      </c>
      <c r="CO33" s="113" t="str">
        <f t="shared" si="45"/>
        <v/>
      </c>
      <c r="CP33" s="113" t="str">
        <f t="shared" si="46"/>
        <v/>
      </c>
      <c r="CQ33" s="113" t="str">
        <f t="shared" si="47"/>
        <v/>
      </c>
      <c r="CR33" s="113" t="str">
        <f t="shared" si="48"/>
        <v/>
      </c>
      <c r="CS33" s="113" t="str">
        <f t="shared" si="49"/>
        <v/>
      </c>
      <c r="CT33" s="113" t="str">
        <f t="shared" si="50"/>
        <v/>
      </c>
      <c r="CU33" s="113" t="str">
        <f t="shared" si="51"/>
        <v/>
      </c>
      <c r="CV33" s="113" t="str">
        <f t="shared" si="52"/>
        <v/>
      </c>
      <c r="CW33" s="113" t="str">
        <f t="shared" si="53"/>
        <v/>
      </c>
      <c r="CX33" s="113" t="str">
        <f t="shared" si="54"/>
        <v/>
      </c>
      <c r="CY33" s="113" t="str">
        <f t="shared" si="55"/>
        <v/>
      </c>
      <c r="CZ33" s="113" t="str">
        <f t="shared" si="56"/>
        <v/>
      </c>
      <c r="DA33" s="113" t="str">
        <f t="shared" si="57"/>
        <v/>
      </c>
      <c r="DB33" s="113" t="str">
        <f t="shared" si="58"/>
        <v/>
      </c>
      <c r="DC33" s="113" t="str">
        <f t="shared" si="59"/>
        <v/>
      </c>
      <c r="DD33" s="113" t="str">
        <f t="shared" si="60"/>
        <v/>
      </c>
      <c r="DE33" s="113" t="str">
        <f t="shared" si="61"/>
        <v/>
      </c>
      <c r="DF33" s="113" t="str">
        <f t="shared" si="62"/>
        <v/>
      </c>
      <c r="DG33" s="113" t="str">
        <f t="shared" si="63"/>
        <v/>
      </c>
      <c r="DH33" s="113" t="str">
        <f t="shared" si="64"/>
        <v/>
      </c>
      <c r="DI33" s="113" t="str">
        <f t="shared" si="65"/>
        <v/>
      </c>
      <c r="DJ33" s="113" t="str">
        <f t="shared" si="66"/>
        <v/>
      </c>
      <c r="DK33" s="113" t="str">
        <f t="shared" si="67"/>
        <v/>
      </c>
      <c r="DL33" s="113" t="str">
        <f t="shared" si="68"/>
        <v/>
      </c>
      <c r="DM33" s="113" t="str">
        <f t="shared" si="69"/>
        <v/>
      </c>
      <c r="DN33" s="113" t="str">
        <f t="shared" si="70"/>
        <v/>
      </c>
      <c r="DO33" s="113" t="str">
        <f t="shared" si="71"/>
        <v/>
      </c>
      <c r="DP33" s="113" t="str">
        <f t="shared" si="72"/>
        <v/>
      </c>
      <c r="DQ33" s="113" t="str">
        <f t="shared" si="73"/>
        <v/>
      </c>
      <c r="DR33" s="113" t="str">
        <f t="shared" si="74"/>
        <v/>
      </c>
      <c r="DS33" s="113" t="str">
        <f t="shared" si="75"/>
        <v/>
      </c>
      <c r="DT33" s="113" t="str">
        <f t="shared" si="76"/>
        <v/>
      </c>
      <c r="DU33" s="113" t="str">
        <f t="shared" si="77"/>
        <v/>
      </c>
      <c r="DV33" s="113" t="str">
        <f t="shared" si="78"/>
        <v/>
      </c>
      <c r="DW33" s="113" t="str">
        <f t="shared" si="79"/>
        <v/>
      </c>
      <c r="DX33" s="113" t="str">
        <f t="shared" si="80"/>
        <v/>
      </c>
      <c r="DY33" s="113" t="str">
        <f t="shared" si="81"/>
        <v/>
      </c>
      <c r="DZ33" s="113" t="str">
        <f t="shared" si="82"/>
        <v/>
      </c>
      <c r="EA33" s="113" t="str">
        <f t="shared" si="83"/>
        <v/>
      </c>
      <c r="EB33" s="113" t="str">
        <f t="shared" si="84"/>
        <v/>
      </c>
      <c r="EC33" s="113" t="str">
        <f t="shared" si="85"/>
        <v/>
      </c>
      <c r="ED33" s="113" t="str">
        <f t="shared" si="86"/>
        <v/>
      </c>
      <c r="EE33" s="113" t="str">
        <f t="shared" si="87"/>
        <v/>
      </c>
      <c r="EF33" s="113" t="str">
        <f t="shared" si="88"/>
        <v/>
      </c>
      <c r="EG33" s="113" t="str">
        <f t="shared" si="89"/>
        <v/>
      </c>
      <c r="EH33" s="113" t="str">
        <f t="shared" si="90"/>
        <v/>
      </c>
      <c r="EI33" s="113" t="str">
        <f t="shared" si="91"/>
        <v/>
      </c>
      <c r="EJ33" s="113" t="str">
        <f t="shared" si="92"/>
        <v/>
      </c>
      <c r="EK33" s="113" t="str">
        <f t="shared" si="93"/>
        <v/>
      </c>
      <c r="EL33" s="113" t="str">
        <f t="shared" si="94"/>
        <v/>
      </c>
      <c r="EM33" s="113" t="str">
        <f t="shared" si="95"/>
        <v/>
      </c>
      <c r="EN33" s="113" t="str">
        <f t="shared" si="96"/>
        <v/>
      </c>
      <c r="EO33" s="113" t="str">
        <f t="shared" si="97"/>
        <v/>
      </c>
      <c r="EP33" s="113" t="str">
        <f t="shared" si="98"/>
        <v/>
      </c>
      <c r="EQ33" s="113" t="str">
        <f t="shared" si="99"/>
        <v/>
      </c>
      <c r="ER33" s="113" t="str">
        <f t="shared" si="100"/>
        <v/>
      </c>
      <c r="ES33" s="113" t="str">
        <f t="shared" si="101"/>
        <v/>
      </c>
      <c r="ET33" s="660" t="str">
        <f t="shared" si="102"/>
        <v/>
      </c>
      <c r="EU33" s="660" t="str">
        <f t="shared" si="103"/>
        <v/>
      </c>
      <c r="EV33" s="660" t="str">
        <f t="shared" si="104"/>
        <v/>
      </c>
      <c r="EW33" s="660" t="str">
        <f t="shared" si="105"/>
        <v/>
      </c>
      <c r="EX33" s="660" t="str">
        <f t="shared" si="106"/>
        <v/>
      </c>
      <c r="EY33" s="660" t="str">
        <f t="shared" si="107"/>
        <v/>
      </c>
      <c r="EZ33" s="660" t="str">
        <f t="shared" si="108"/>
        <v/>
      </c>
      <c r="FA33" s="660" t="str">
        <f t="shared" si="109"/>
        <v/>
      </c>
      <c r="FB33" s="660" t="str">
        <f t="shared" si="110"/>
        <v/>
      </c>
      <c r="FC33" s="660" t="str">
        <f t="shared" si="111"/>
        <v/>
      </c>
      <c r="FD33" s="660" t="str">
        <f t="shared" si="112"/>
        <v/>
      </c>
      <c r="FE33" s="660" t="str">
        <f t="shared" si="113"/>
        <v/>
      </c>
      <c r="FF33" s="660" t="str">
        <f t="shared" si="114"/>
        <v/>
      </c>
      <c r="FG33" s="660" t="str">
        <f t="shared" si="115"/>
        <v/>
      </c>
      <c r="FH33" s="660" t="str">
        <f t="shared" si="116"/>
        <v/>
      </c>
      <c r="FI33" s="660" t="str">
        <f t="shared" si="117"/>
        <v/>
      </c>
      <c r="FJ33" s="660" t="str">
        <f t="shared" si="118"/>
        <v/>
      </c>
      <c r="FK33" s="660" t="str">
        <f t="shared" si="119"/>
        <v/>
      </c>
      <c r="FL33" s="660" t="str">
        <f t="shared" si="120"/>
        <v/>
      </c>
      <c r="FM33" s="660" t="str">
        <f t="shared" si="121"/>
        <v/>
      </c>
      <c r="FN33" s="660" t="str">
        <f t="shared" si="122"/>
        <v/>
      </c>
      <c r="FO33" s="660" t="str">
        <f t="shared" si="123"/>
        <v/>
      </c>
      <c r="FP33" s="660" t="str">
        <f t="shared" si="124"/>
        <v/>
      </c>
      <c r="FQ33" s="660" t="str">
        <f t="shared" si="125"/>
        <v/>
      </c>
      <c r="FR33" s="660" t="str">
        <f t="shared" si="126"/>
        <v/>
      </c>
      <c r="FS33" s="660" t="str">
        <f t="shared" si="127"/>
        <v/>
      </c>
      <c r="FT33" s="660" t="str">
        <f t="shared" si="128"/>
        <v/>
      </c>
      <c r="FU33" s="660" t="str">
        <f t="shared" si="129"/>
        <v/>
      </c>
      <c r="FV33" s="660" t="str">
        <f t="shared" si="130"/>
        <v/>
      </c>
      <c r="FW33" s="660" t="str">
        <f t="shared" si="131"/>
        <v/>
      </c>
      <c r="FX33" s="660" t="str">
        <f t="shared" si="132"/>
        <v/>
      </c>
      <c r="FY33" s="660" t="str">
        <f t="shared" si="133"/>
        <v/>
      </c>
      <c r="FZ33" s="660" t="str">
        <f t="shared" si="134"/>
        <v/>
      </c>
      <c r="GA33" s="660" t="str">
        <f t="shared" si="135"/>
        <v/>
      </c>
      <c r="GB33" s="660" t="str">
        <f t="shared" si="136"/>
        <v/>
      </c>
      <c r="GC33" s="660" t="str">
        <f t="shared" si="137"/>
        <v/>
      </c>
      <c r="GD33" s="660" t="str">
        <f t="shared" si="138"/>
        <v/>
      </c>
      <c r="GE33" s="660" t="str">
        <f t="shared" si="139"/>
        <v/>
      </c>
      <c r="GF33" s="660" t="str">
        <f t="shared" si="140"/>
        <v/>
      </c>
      <c r="GG33" s="660" t="str">
        <f t="shared" si="141"/>
        <v/>
      </c>
      <c r="GH33" s="660" t="str">
        <f t="shared" si="142"/>
        <v/>
      </c>
      <c r="GI33" s="660" t="str">
        <f t="shared" si="143"/>
        <v/>
      </c>
      <c r="GJ33" s="660" t="str">
        <f t="shared" si="144"/>
        <v/>
      </c>
      <c r="GK33" s="660" t="str">
        <f t="shared" si="145"/>
        <v/>
      </c>
      <c r="GL33" s="660" t="str">
        <f t="shared" si="146"/>
        <v/>
      </c>
      <c r="GM33" s="661" t="str">
        <f t="shared" si="147"/>
        <v/>
      </c>
      <c r="GN33" s="661" t="str">
        <f t="shared" si="148"/>
        <v/>
      </c>
      <c r="GO33" s="661" t="str">
        <f t="shared" si="149"/>
        <v/>
      </c>
      <c r="GP33" s="661" t="str">
        <f t="shared" si="150"/>
        <v/>
      </c>
      <c r="GQ33" s="661" t="str">
        <f t="shared" si="151"/>
        <v/>
      </c>
      <c r="GR33" s="113" t="str">
        <f t="shared" si="152"/>
        <v/>
      </c>
      <c r="GS33" s="113" t="str">
        <f t="shared" si="153"/>
        <v/>
      </c>
      <c r="GT33" s="113" t="str">
        <f t="shared" si="154"/>
        <v/>
      </c>
      <c r="GU33" s="113" t="str">
        <f t="shared" si="155"/>
        <v/>
      </c>
      <c r="GV33" s="113" t="str">
        <f t="shared" si="156"/>
        <v/>
      </c>
      <c r="GW33" s="113" t="str">
        <f t="shared" si="157"/>
        <v/>
      </c>
      <c r="GX33" s="113" t="str">
        <f t="shared" si="158"/>
        <v/>
      </c>
      <c r="GY33" s="113" t="str">
        <f t="shared" si="159"/>
        <v/>
      </c>
      <c r="GZ33" s="113" t="str">
        <f t="shared" si="160"/>
        <v/>
      </c>
      <c r="HA33" s="113" t="str">
        <f t="shared" si="161"/>
        <v/>
      </c>
      <c r="HB33" s="113" t="str">
        <f t="shared" si="162"/>
        <v/>
      </c>
      <c r="HC33" s="113" t="str">
        <f t="shared" si="163"/>
        <v/>
      </c>
      <c r="HD33" s="113" t="str">
        <f t="shared" si="164"/>
        <v/>
      </c>
      <c r="HE33" s="113" t="str">
        <f t="shared" si="165"/>
        <v/>
      </c>
      <c r="HF33" s="113" t="str">
        <f t="shared" si="166"/>
        <v/>
      </c>
      <c r="HG33" s="113" t="str">
        <f t="shared" si="167"/>
        <v/>
      </c>
      <c r="HH33" s="113" t="str">
        <f t="shared" si="168"/>
        <v/>
      </c>
      <c r="HI33" s="113" t="str">
        <f t="shared" si="169"/>
        <v/>
      </c>
      <c r="HJ33" s="113" t="str">
        <f t="shared" si="170"/>
        <v/>
      </c>
      <c r="HK33" s="113" t="str">
        <f t="shared" si="171"/>
        <v/>
      </c>
    </row>
    <row r="34" spans="1:219" ht="13.2" customHeight="1">
      <c r="A34" s="146" t="str">
        <f t="shared" si="172"/>
        <v/>
      </c>
      <c r="B34" s="836"/>
      <c r="C34" s="837"/>
      <c r="D34" s="838"/>
      <c r="E34" s="839"/>
      <c r="F34" s="839"/>
      <c r="G34" s="839"/>
      <c r="H34" s="839"/>
      <c r="I34" s="839"/>
      <c r="J34" s="840"/>
      <c r="K34" s="227">
        <f t="shared" si="408"/>
        <v>0</v>
      </c>
      <c r="L34" s="227">
        <f t="shared" si="0"/>
        <v>0</v>
      </c>
      <c r="M34" s="841"/>
      <c r="N34" s="841"/>
      <c r="O34" s="841"/>
      <c r="P34" s="581" t="str">
        <f t="shared" si="407"/>
        <v/>
      </c>
      <c r="Q34" s="582" t="str">
        <f>IF(H34="","",P34/($P$6*VLOOKUP(C34,'DCA Underwriting Assumptions'!$J$77:$K$82,2,FALSE)))</f>
        <v/>
      </c>
      <c r="R34" s="739"/>
      <c r="S34" s="659"/>
      <c r="T34" s="113" t="str">
        <f t="shared" si="2"/>
        <v/>
      </c>
      <c r="U34" s="113" t="str">
        <f t="shared" si="3"/>
        <v/>
      </c>
      <c r="V34" s="113" t="str">
        <f t="shared" si="4"/>
        <v/>
      </c>
      <c r="W34" s="113" t="str">
        <f t="shared" si="5"/>
        <v/>
      </c>
      <c r="X34" s="113" t="str">
        <f t="shared" si="6"/>
        <v/>
      </c>
      <c r="Y34" s="113" t="str">
        <f t="shared" si="7"/>
        <v/>
      </c>
      <c r="Z34" s="113" t="str">
        <f t="shared" si="8"/>
        <v/>
      </c>
      <c r="AA34" s="113" t="str">
        <f t="shared" si="9"/>
        <v/>
      </c>
      <c r="AB34" s="113" t="str">
        <f t="shared" si="10"/>
        <v/>
      </c>
      <c r="AC34" s="113" t="str">
        <f t="shared" si="11"/>
        <v/>
      </c>
      <c r="AD34" s="113" t="str">
        <f t="shared" si="12"/>
        <v/>
      </c>
      <c r="AE34" s="113" t="str">
        <f t="shared" si="13"/>
        <v/>
      </c>
      <c r="AF34" s="113" t="str">
        <f t="shared" si="14"/>
        <v/>
      </c>
      <c r="AG34" s="113" t="str">
        <f t="shared" si="15"/>
        <v/>
      </c>
      <c r="AH34" s="113" t="str">
        <f t="shared" si="16"/>
        <v/>
      </c>
      <c r="AI34" s="113" t="str">
        <f t="shared" si="17"/>
        <v/>
      </c>
      <c r="AJ34" s="113" t="str">
        <f t="shared" si="18"/>
        <v/>
      </c>
      <c r="AK34" s="113" t="str">
        <f t="shared" si="19"/>
        <v/>
      </c>
      <c r="AL34" s="113" t="str">
        <f t="shared" si="20"/>
        <v/>
      </c>
      <c r="AM34" s="113" t="str">
        <f t="shared" si="21"/>
        <v/>
      </c>
      <c r="AN34" s="113" t="str">
        <f t="shared" si="174"/>
        <v/>
      </c>
      <c r="AO34" s="113" t="str">
        <f t="shared" si="175"/>
        <v/>
      </c>
      <c r="AP34" s="113" t="str">
        <f t="shared" si="176"/>
        <v/>
      </c>
      <c r="AQ34" s="113" t="str">
        <f t="shared" si="177"/>
        <v/>
      </c>
      <c r="AR34" s="113" t="str">
        <f t="shared" si="178"/>
        <v/>
      </c>
      <c r="AS34" s="113" t="str">
        <f t="shared" si="179"/>
        <v/>
      </c>
      <c r="AT34" s="113" t="str">
        <f t="shared" si="180"/>
        <v/>
      </c>
      <c r="AU34" s="113" t="str">
        <f t="shared" si="181"/>
        <v/>
      </c>
      <c r="AV34" s="113" t="str">
        <f t="shared" si="182"/>
        <v/>
      </c>
      <c r="AW34" s="113" t="str">
        <f t="shared" si="183"/>
        <v/>
      </c>
      <c r="AX34" s="113" t="str">
        <f t="shared" si="184"/>
        <v/>
      </c>
      <c r="AY34" s="113" t="str">
        <f t="shared" si="185"/>
        <v/>
      </c>
      <c r="AZ34" s="113" t="str">
        <f t="shared" si="186"/>
        <v/>
      </c>
      <c r="BA34" s="113" t="str">
        <f t="shared" si="187"/>
        <v/>
      </c>
      <c r="BB34" s="113" t="str">
        <f t="shared" si="188"/>
        <v/>
      </c>
      <c r="BC34" s="113" t="str">
        <f t="shared" si="189"/>
        <v/>
      </c>
      <c r="BD34" s="113" t="str">
        <f t="shared" si="190"/>
        <v/>
      </c>
      <c r="BE34" s="113" t="str">
        <f t="shared" si="191"/>
        <v/>
      </c>
      <c r="BF34" s="113" t="str">
        <f t="shared" si="192"/>
        <v/>
      </c>
      <c r="BG34" s="113" t="str">
        <f t="shared" si="193"/>
        <v/>
      </c>
      <c r="BH34" s="113" t="str">
        <f t="shared" si="194"/>
        <v/>
      </c>
      <c r="BI34" s="113" t="str">
        <f t="shared" si="195"/>
        <v/>
      </c>
      <c r="BJ34" s="113" t="str">
        <f t="shared" si="196"/>
        <v/>
      </c>
      <c r="BK34" s="113" t="str">
        <f t="shared" si="197"/>
        <v/>
      </c>
      <c r="BL34" s="113" t="str">
        <f t="shared" si="198"/>
        <v/>
      </c>
      <c r="BM34" s="113" t="str">
        <f t="shared" si="199"/>
        <v/>
      </c>
      <c r="BN34" s="113" t="str">
        <f t="shared" si="200"/>
        <v/>
      </c>
      <c r="BO34" s="113" t="str">
        <f t="shared" si="201"/>
        <v/>
      </c>
      <c r="BP34" s="113" t="str">
        <f t="shared" si="202"/>
        <v/>
      </c>
      <c r="BQ34" s="113" t="str">
        <f t="shared" si="203"/>
        <v/>
      </c>
      <c r="BR34" s="113" t="str">
        <f t="shared" si="22"/>
        <v/>
      </c>
      <c r="BS34" s="113" t="str">
        <f t="shared" si="23"/>
        <v/>
      </c>
      <c r="BT34" s="113" t="str">
        <f t="shared" si="24"/>
        <v/>
      </c>
      <c r="BU34" s="113" t="str">
        <f t="shared" si="25"/>
        <v/>
      </c>
      <c r="BV34" s="113" t="str">
        <f t="shared" si="26"/>
        <v/>
      </c>
      <c r="BW34" s="113" t="str">
        <f t="shared" si="27"/>
        <v/>
      </c>
      <c r="BX34" s="113" t="str">
        <f t="shared" si="28"/>
        <v/>
      </c>
      <c r="BY34" s="113" t="str">
        <f t="shared" si="29"/>
        <v/>
      </c>
      <c r="BZ34" s="113" t="str">
        <f t="shared" si="30"/>
        <v/>
      </c>
      <c r="CA34" s="113" t="str">
        <f t="shared" si="31"/>
        <v/>
      </c>
      <c r="CB34" s="113" t="str">
        <f t="shared" si="32"/>
        <v/>
      </c>
      <c r="CC34" s="113" t="str">
        <f t="shared" si="33"/>
        <v/>
      </c>
      <c r="CD34" s="113" t="str">
        <f t="shared" si="34"/>
        <v/>
      </c>
      <c r="CE34" s="113" t="str">
        <f t="shared" si="35"/>
        <v/>
      </c>
      <c r="CF34" s="113" t="str">
        <f t="shared" si="36"/>
        <v/>
      </c>
      <c r="CG34" s="113" t="str">
        <f t="shared" si="37"/>
        <v/>
      </c>
      <c r="CH34" s="113" t="str">
        <f t="shared" si="38"/>
        <v/>
      </c>
      <c r="CI34" s="113" t="str">
        <f t="shared" si="39"/>
        <v/>
      </c>
      <c r="CJ34" s="113" t="str">
        <f t="shared" si="40"/>
        <v/>
      </c>
      <c r="CK34" s="113" t="str">
        <f t="shared" si="41"/>
        <v/>
      </c>
      <c r="CL34" s="113" t="str">
        <f t="shared" si="42"/>
        <v/>
      </c>
      <c r="CM34" s="113" t="str">
        <f t="shared" si="43"/>
        <v/>
      </c>
      <c r="CN34" s="113" t="str">
        <f t="shared" si="44"/>
        <v/>
      </c>
      <c r="CO34" s="113" t="str">
        <f t="shared" si="45"/>
        <v/>
      </c>
      <c r="CP34" s="113" t="str">
        <f t="shared" si="46"/>
        <v/>
      </c>
      <c r="CQ34" s="113" t="str">
        <f t="shared" si="47"/>
        <v/>
      </c>
      <c r="CR34" s="113" t="str">
        <f t="shared" si="48"/>
        <v/>
      </c>
      <c r="CS34" s="113" t="str">
        <f t="shared" si="49"/>
        <v/>
      </c>
      <c r="CT34" s="113" t="str">
        <f t="shared" si="50"/>
        <v/>
      </c>
      <c r="CU34" s="113" t="str">
        <f t="shared" si="51"/>
        <v/>
      </c>
      <c r="CV34" s="113" t="str">
        <f t="shared" si="52"/>
        <v/>
      </c>
      <c r="CW34" s="113" t="str">
        <f t="shared" si="53"/>
        <v/>
      </c>
      <c r="CX34" s="113" t="str">
        <f t="shared" si="54"/>
        <v/>
      </c>
      <c r="CY34" s="113" t="str">
        <f t="shared" si="55"/>
        <v/>
      </c>
      <c r="CZ34" s="113" t="str">
        <f t="shared" si="56"/>
        <v/>
      </c>
      <c r="DA34" s="113" t="str">
        <f t="shared" si="57"/>
        <v/>
      </c>
      <c r="DB34" s="113" t="str">
        <f t="shared" si="58"/>
        <v/>
      </c>
      <c r="DC34" s="113" t="str">
        <f t="shared" si="59"/>
        <v/>
      </c>
      <c r="DD34" s="113" t="str">
        <f t="shared" si="60"/>
        <v/>
      </c>
      <c r="DE34" s="113" t="str">
        <f t="shared" si="61"/>
        <v/>
      </c>
      <c r="DF34" s="113" t="str">
        <f t="shared" si="62"/>
        <v/>
      </c>
      <c r="DG34" s="113" t="str">
        <f t="shared" si="63"/>
        <v/>
      </c>
      <c r="DH34" s="113" t="str">
        <f t="shared" si="64"/>
        <v/>
      </c>
      <c r="DI34" s="113" t="str">
        <f t="shared" si="65"/>
        <v/>
      </c>
      <c r="DJ34" s="113" t="str">
        <f t="shared" si="66"/>
        <v/>
      </c>
      <c r="DK34" s="113" t="str">
        <f t="shared" si="67"/>
        <v/>
      </c>
      <c r="DL34" s="113" t="str">
        <f t="shared" si="68"/>
        <v/>
      </c>
      <c r="DM34" s="113" t="str">
        <f t="shared" si="69"/>
        <v/>
      </c>
      <c r="DN34" s="113" t="str">
        <f t="shared" si="70"/>
        <v/>
      </c>
      <c r="DO34" s="113" t="str">
        <f t="shared" si="71"/>
        <v/>
      </c>
      <c r="DP34" s="113" t="str">
        <f t="shared" si="72"/>
        <v/>
      </c>
      <c r="DQ34" s="113" t="str">
        <f t="shared" si="73"/>
        <v/>
      </c>
      <c r="DR34" s="113" t="str">
        <f t="shared" si="74"/>
        <v/>
      </c>
      <c r="DS34" s="113" t="str">
        <f t="shared" si="75"/>
        <v/>
      </c>
      <c r="DT34" s="113" t="str">
        <f t="shared" si="76"/>
        <v/>
      </c>
      <c r="DU34" s="113" t="str">
        <f t="shared" si="77"/>
        <v/>
      </c>
      <c r="DV34" s="113" t="str">
        <f t="shared" si="78"/>
        <v/>
      </c>
      <c r="DW34" s="113" t="str">
        <f t="shared" si="79"/>
        <v/>
      </c>
      <c r="DX34" s="113" t="str">
        <f t="shared" si="80"/>
        <v/>
      </c>
      <c r="DY34" s="113" t="str">
        <f t="shared" si="81"/>
        <v/>
      </c>
      <c r="DZ34" s="113" t="str">
        <f t="shared" si="82"/>
        <v/>
      </c>
      <c r="EA34" s="113" t="str">
        <f t="shared" si="83"/>
        <v/>
      </c>
      <c r="EB34" s="113" t="str">
        <f t="shared" si="84"/>
        <v/>
      </c>
      <c r="EC34" s="113" t="str">
        <f t="shared" si="85"/>
        <v/>
      </c>
      <c r="ED34" s="113" t="str">
        <f t="shared" si="86"/>
        <v/>
      </c>
      <c r="EE34" s="113" t="str">
        <f t="shared" si="87"/>
        <v/>
      </c>
      <c r="EF34" s="113" t="str">
        <f t="shared" si="88"/>
        <v/>
      </c>
      <c r="EG34" s="113" t="str">
        <f t="shared" si="89"/>
        <v/>
      </c>
      <c r="EH34" s="113" t="str">
        <f t="shared" si="90"/>
        <v/>
      </c>
      <c r="EI34" s="113" t="str">
        <f t="shared" si="91"/>
        <v/>
      </c>
      <c r="EJ34" s="113" t="str">
        <f t="shared" si="92"/>
        <v/>
      </c>
      <c r="EK34" s="113" t="str">
        <f t="shared" si="93"/>
        <v/>
      </c>
      <c r="EL34" s="113" t="str">
        <f t="shared" si="94"/>
        <v/>
      </c>
      <c r="EM34" s="113" t="str">
        <f t="shared" si="95"/>
        <v/>
      </c>
      <c r="EN34" s="113" t="str">
        <f t="shared" si="96"/>
        <v/>
      </c>
      <c r="EO34" s="113" t="str">
        <f t="shared" si="97"/>
        <v/>
      </c>
      <c r="EP34" s="113" t="str">
        <f t="shared" si="98"/>
        <v/>
      </c>
      <c r="EQ34" s="113" t="str">
        <f t="shared" si="99"/>
        <v/>
      </c>
      <c r="ER34" s="113" t="str">
        <f t="shared" si="100"/>
        <v/>
      </c>
      <c r="ES34" s="113" t="str">
        <f t="shared" si="101"/>
        <v/>
      </c>
      <c r="ET34" s="660" t="str">
        <f t="shared" si="102"/>
        <v/>
      </c>
      <c r="EU34" s="660" t="str">
        <f t="shared" si="103"/>
        <v/>
      </c>
      <c r="EV34" s="660" t="str">
        <f t="shared" si="104"/>
        <v/>
      </c>
      <c r="EW34" s="660" t="str">
        <f t="shared" si="105"/>
        <v/>
      </c>
      <c r="EX34" s="660" t="str">
        <f t="shared" si="106"/>
        <v/>
      </c>
      <c r="EY34" s="660" t="str">
        <f t="shared" si="107"/>
        <v/>
      </c>
      <c r="EZ34" s="660" t="str">
        <f t="shared" si="108"/>
        <v/>
      </c>
      <c r="FA34" s="660" t="str">
        <f t="shared" si="109"/>
        <v/>
      </c>
      <c r="FB34" s="660" t="str">
        <f t="shared" si="110"/>
        <v/>
      </c>
      <c r="FC34" s="660" t="str">
        <f t="shared" si="111"/>
        <v/>
      </c>
      <c r="FD34" s="660" t="str">
        <f t="shared" si="112"/>
        <v/>
      </c>
      <c r="FE34" s="660" t="str">
        <f t="shared" si="113"/>
        <v/>
      </c>
      <c r="FF34" s="660" t="str">
        <f t="shared" si="114"/>
        <v/>
      </c>
      <c r="FG34" s="660" t="str">
        <f t="shared" si="115"/>
        <v/>
      </c>
      <c r="FH34" s="660" t="str">
        <f t="shared" si="116"/>
        <v/>
      </c>
      <c r="FI34" s="660" t="str">
        <f t="shared" si="117"/>
        <v/>
      </c>
      <c r="FJ34" s="660" t="str">
        <f t="shared" si="118"/>
        <v/>
      </c>
      <c r="FK34" s="660" t="str">
        <f t="shared" si="119"/>
        <v/>
      </c>
      <c r="FL34" s="660" t="str">
        <f t="shared" si="120"/>
        <v/>
      </c>
      <c r="FM34" s="660" t="str">
        <f t="shared" si="121"/>
        <v/>
      </c>
      <c r="FN34" s="660" t="str">
        <f t="shared" si="122"/>
        <v/>
      </c>
      <c r="FO34" s="660" t="str">
        <f t="shared" si="123"/>
        <v/>
      </c>
      <c r="FP34" s="660" t="str">
        <f t="shared" si="124"/>
        <v/>
      </c>
      <c r="FQ34" s="660" t="str">
        <f t="shared" si="125"/>
        <v/>
      </c>
      <c r="FR34" s="660" t="str">
        <f t="shared" si="126"/>
        <v/>
      </c>
      <c r="FS34" s="660" t="str">
        <f t="shared" si="127"/>
        <v/>
      </c>
      <c r="FT34" s="660" t="str">
        <f t="shared" si="128"/>
        <v/>
      </c>
      <c r="FU34" s="660" t="str">
        <f t="shared" si="129"/>
        <v/>
      </c>
      <c r="FV34" s="660" t="str">
        <f t="shared" si="130"/>
        <v/>
      </c>
      <c r="FW34" s="660" t="str">
        <f t="shared" si="131"/>
        <v/>
      </c>
      <c r="FX34" s="660" t="str">
        <f t="shared" si="132"/>
        <v/>
      </c>
      <c r="FY34" s="660" t="str">
        <f t="shared" si="133"/>
        <v/>
      </c>
      <c r="FZ34" s="660" t="str">
        <f t="shared" si="134"/>
        <v/>
      </c>
      <c r="GA34" s="660" t="str">
        <f t="shared" si="135"/>
        <v/>
      </c>
      <c r="GB34" s="660" t="str">
        <f t="shared" si="136"/>
        <v/>
      </c>
      <c r="GC34" s="660" t="str">
        <f t="shared" si="137"/>
        <v/>
      </c>
      <c r="GD34" s="660" t="str">
        <f t="shared" si="138"/>
        <v/>
      </c>
      <c r="GE34" s="660" t="str">
        <f t="shared" si="139"/>
        <v/>
      </c>
      <c r="GF34" s="660" t="str">
        <f t="shared" si="140"/>
        <v/>
      </c>
      <c r="GG34" s="660" t="str">
        <f t="shared" si="141"/>
        <v/>
      </c>
      <c r="GH34" s="660" t="str">
        <f t="shared" si="142"/>
        <v/>
      </c>
      <c r="GI34" s="660" t="str">
        <f t="shared" si="143"/>
        <v/>
      </c>
      <c r="GJ34" s="660" t="str">
        <f t="shared" si="144"/>
        <v/>
      </c>
      <c r="GK34" s="660" t="str">
        <f t="shared" si="145"/>
        <v/>
      </c>
      <c r="GL34" s="660" t="str">
        <f t="shared" si="146"/>
        <v/>
      </c>
      <c r="GM34" s="661" t="str">
        <f t="shared" si="147"/>
        <v/>
      </c>
      <c r="GN34" s="661" t="str">
        <f t="shared" si="148"/>
        <v/>
      </c>
      <c r="GO34" s="661" t="str">
        <f t="shared" si="149"/>
        <v/>
      </c>
      <c r="GP34" s="661" t="str">
        <f t="shared" si="150"/>
        <v/>
      </c>
      <c r="GQ34" s="661" t="str">
        <f t="shared" si="151"/>
        <v/>
      </c>
      <c r="GR34" s="113" t="str">
        <f t="shared" si="152"/>
        <v/>
      </c>
      <c r="GS34" s="113" t="str">
        <f t="shared" si="153"/>
        <v/>
      </c>
      <c r="GT34" s="113" t="str">
        <f t="shared" si="154"/>
        <v/>
      </c>
      <c r="GU34" s="113" t="str">
        <f t="shared" si="155"/>
        <v/>
      </c>
      <c r="GV34" s="113" t="str">
        <f t="shared" si="156"/>
        <v/>
      </c>
      <c r="GW34" s="113" t="str">
        <f t="shared" si="157"/>
        <v/>
      </c>
      <c r="GX34" s="113" t="str">
        <f t="shared" si="158"/>
        <v/>
      </c>
      <c r="GY34" s="113" t="str">
        <f t="shared" si="159"/>
        <v/>
      </c>
      <c r="GZ34" s="113" t="str">
        <f t="shared" si="160"/>
        <v/>
      </c>
      <c r="HA34" s="113" t="str">
        <f t="shared" si="161"/>
        <v/>
      </c>
      <c r="HB34" s="113" t="str">
        <f t="shared" si="162"/>
        <v/>
      </c>
      <c r="HC34" s="113" t="str">
        <f t="shared" si="163"/>
        <v/>
      </c>
      <c r="HD34" s="113" t="str">
        <f t="shared" si="164"/>
        <v/>
      </c>
      <c r="HE34" s="113" t="str">
        <f t="shared" si="165"/>
        <v/>
      </c>
      <c r="HF34" s="113" t="str">
        <f t="shared" si="166"/>
        <v/>
      </c>
      <c r="HG34" s="113" t="str">
        <f t="shared" si="167"/>
        <v/>
      </c>
      <c r="HH34" s="113" t="str">
        <f t="shared" si="168"/>
        <v/>
      </c>
      <c r="HI34" s="113" t="str">
        <f t="shared" si="169"/>
        <v/>
      </c>
      <c r="HJ34" s="113" t="str">
        <f t="shared" si="170"/>
        <v/>
      </c>
      <c r="HK34" s="113" t="str">
        <f t="shared" si="171"/>
        <v/>
      </c>
    </row>
    <row r="35" spans="1:219" ht="13.2" customHeight="1">
      <c r="A35" s="146" t="str">
        <f t="shared" si="172"/>
        <v/>
      </c>
      <c r="B35" s="836"/>
      <c r="C35" s="837"/>
      <c r="D35" s="838"/>
      <c r="E35" s="839"/>
      <c r="F35" s="839"/>
      <c r="G35" s="839"/>
      <c r="H35" s="839"/>
      <c r="I35" s="839"/>
      <c r="J35" s="840"/>
      <c r="K35" s="227">
        <f t="shared" si="408"/>
        <v>0</v>
      </c>
      <c r="L35" s="227">
        <f t="shared" si="0"/>
        <v>0</v>
      </c>
      <c r="M35" s="841"/>
      <c r="N35" s="841"/>
      <c r="O35" s="841"/>
      <c r="P35" s="581" t="str">
        <f t="shared" si="407"/>
        <v/>
      </c>
      <c r="Q35" s="582" t="str">
        <f>IF(H35="","",P35/($P$6*VLOOKUP(C35,'DCA Underwriting Assumptions'!$J$77:$K$82,2,FALSE)))</f>
        <v/>
      </c>
      <c r="R35" s="739"/>
      <c r="S35" s="659"/>
      <c r="T35" s="113" t="str">
        <f t="shared" si="2"/>
        <v/>
      </c>
      <c r="U35" s="113" t="str">
        <f t="shared" si="3"/>
        <v/>
      </c>
      <c r="V35" s="113" t="str">
        <f t="shared" si="4"/>
        <v/>
      </c>
      <c r="W35" s="113" t="str">
        <f t="shared" si="5"/>
        <v/>
      </c>
      <c r="X35" s="113" t="str">
        <f t="shared" si="6"/>
        <v/>
      </c>
      <c r="Y35" s="113" t="str">
        <f t="shared" si="7"/>
        <v/>
      </c>
      <c r="Z35" s="113" t="str">
        <f t="shared" si="8"/>
        <v/>
      </c>
      <c r="AA35" s="113" t="str">
        <f t="shared" si="9"/>
        <v/>
      </c>
      <c r="AB35" s="113" t="str">
        <f t="shared" si="10"/>
        <v/>
      </c>
      <c r="AC35" s="113" t="str">
        <f t="shared" si="11"/>
        <v/>
      </c>
      <c r="AD35" s="113" t="str">
        <f t="shared" si="12"/>
        <v/>
      </c>
      <c r="AE35" s="113" t="str">
        <f t="shared" si="13"/>
        <v/>
      </c>
      <c r="AF35" s="113" t="str">
        <f t="shared" si="14"/>
        <v/>
      </c>
      <c r="AG35" s="113" t="str">
        <f t="shared" si="15"/>
        <v/>
      </c>
      <c r="AH35" s="113" t="str">
        <f t="shared" si="16"/>
        <v/>
      </c>
      <c r="AI35" s="113" t="str">
        <f t="shared" si="17"/>
        <v/>
      </c>
      <c r="AJ35" s="113" t="str">
        <f t="shared" si="18"/>
        <v/>
      </c>
      <c r="AK35" s="113" t="str">
        <f t="shared" si="19"/>
        <v/>
      </c>
      <c r="AL35" s="113" t="str">
        <f t="shared" si="20"/>
        <v/>
      </c>
      <c r="AM35" s="113" t="str">
        <f t="shared" si="21"/>
        <v/>
      </c>
      <c r="AN35" s="113" t="str">
        <f t="shared" si="174"/>
        <v/>
      </c>
      <c r="AO35" s="113" t="str">
        <f t="shared" si="175"/>
        <v/>
      </c>
      <c r="AP35" s="113" t="str">
        <f t="shared" si="176"/>
        <v/>
      </c>
      <c r="AQ35" s="113" t="str">
        <f t="shared" si="177"/>
        <v/>
      </c>
      <c r="AR35" s="113" t="str">
        <f t="shared" si="178"/>
        <v/>
      </c>
      <c r="AS35" s="113" t="str">
        <f t="shared" si="179"/>
        <v/>
      </c>
      <c r="AT35" s="113" t="str">
        <f t="shared" si="180"/>
        <v/>
      </c>
      <c r="AU35" s="113" t="str">
        <f t="shared" si="181"/>
        <v/>
      </c>
      <c r="AV35" s="113" t="str">
        <f t="shared" si="182"/>
        <v/>
      </c>
      <c r="AW35" s="113" t="str">
        <f t="shared" si="183"/>
        <v/>
      </c>
      <c r="AX35" s="113" t="str">
        <f t="shared" si="184"/>
        <v/>
      </c>
      <c r="AY35" s="113" t="str">
        <f t="shared" si="185"/>
        <v/>
      </c>
      <c r="AZ35" s="113" t="str">
        <f t="shared" si="186"/>
        <v/>
      </c>
      <c r="BA35" s="113" t="str">
        <f t="shared" si="187"/>
        <v/>
      </c>
      <c r="BB35" s="113" t="str">
        <f t="shared" si="188"/>
        <v/>
      </c>
      <c r="BC35" s="113" t="str">
        <f t="shared" si="189"/>
        <v/>
      </c>
      <c r="BD35" s="113" t="str">
        <f t="shared" si="190"/>
        <v/>
      </c>
      <c r="BE35" s="113" t="str">
        <f t="shared" si="191"/>
        <v/>
      </c>
      <c r="BF35" s="113" t="str">
        <f t="shared" si="192"/>
        <v/>
      </c>
      <c r="BG35" s="113" t="str">
        <f t="shared" si="193"/>
        <v/>
      </c>
      <c r="BH35" s="113" t="str">
        <f t="shared" si="194"/>
        <v/>
      </c>
      <c r="BI35" s="113" t="str">
        <f t="shared" si="195"/>
        <v/>
      </c>
      <c r="BJ35" s="113" t="str">
        <f t="shared" si="196"/>
        <v/>
      </c>
      <c r="BK35" s="113" t="str">
        <f t="shared" si="197"/>
        <v/>
      </c>
      <c r="BL35" s="113" t="str">
        <f t="shared" si="198"/>
        <v/>
      </c>
      <c r="BM35" s="113" t="str">
        <f t="shared" si="199"/>
        <v/>
      </c>
      <c r="BN35" s="113" t="str">
        <f t="shared" si="200"/>
        <v/>
      </c>
      <c r="BO35" s="113" t="str">
        <f t="shared" si="201"/>
        <v/>
      </c>
      <c r="BP35" s="113" t="str">
        <f t="shared" si="202"/>
        <v/>
      </c>
      <c r="BQ35" s="113" t="str">
        <f t="shared" si="203"/>
        <v/>
      </c>
      <c r="BR35" s="113" t="str">
        <f t="shared" si="22"/>
        <v/>
      </c>
      <c r="BS35" s="113" t="str">
        <f t="shared" si="23"/>
        <v/>
      </c>
      <c r="BT35" s="113" t="str">
        <f t="shared" si="24"/>
        <v/>
      </c>
      <c r="BU35" s="113" t="str">
        <f t="shared" si="25"/>
        <v/>
      </c>
      <c r="BV35" s="113" t="str">
        <f t="shared" si="26"/>
        <v/>
      </c>
      <c r="BW35" s="113" t="str">
        <f t="shared" si="27"/>
        <v/>
      </c>
      <c r="BX35" s="113" t="str">
        <f t="shared" si="28"/>
        <v/>
      </c>
      <c r="BY35" s="113" t="str">
        <f t="shared" si="29"/>
        <v/>
      </c>
      <c r="BZ35" s="113" t="str">
        <f t="shared" si="30"/>
        <v/>
      </c>
      <c r="CA35" s="113" t="str">
        <f t="shared" si="31"/>
        <v/>
      </c>
      <c r="CB35" s="113" t="str">
        <f t="shared" si="32"/>
        <v/>
      </c>
      <c r="CC35" s="113" t="str">
        <f t="shared" si="33"/>
        <v/>
      </c>
      <c r="CD35" s="113" t="str">
        <f t="shared" si="34"/>
        <v/>
      </c>
      <c r="CE35" s="113" t="str">
        <f t="shared" si="35"/>
        <v/>
      </c>
      <c r="CF35" s="113" t="str">
        <f t="shared" si="36"/>
        <v/>
      </c>
      <c r="CG35" s="113" t="str">
        <f t="shared" si="37"/>
        <v/>
      </c>
      <c r="CH35" s="113" t="str">
        <f t="shared" si="38"/>
        <v/>
      </c>
      <c r="CI35" s="113" t="str">
        <f t="shared" si="39"/>
        <v/>
      </c>
      <c r="CJ35" s="113" t="str">
        <f t="shared" si="40"/>
        <v/>
      </c>
      <c r="CK35" s="113" t="str">
        <f t="shared" si="41"/>
        <v/>
      </c>
      <c r="CL35" s="113" t="str">
        <f t="shared" si="42"/>
        <v/>
      </c>
      <c r="CM35" s="113" t="str">
        <f t="shared" si="43"/>
        <v/>
      </c>
      <c r="CN35" s="113" t="str">
        <f t="shared" si="44"/>
        <v/>
      </c>
      <c r="CO35" s="113" t="str">
        <f t="shared" si="45"/>
        <v/>
      </c>
      <c r="CP35" s="113" t="str">
        <f t="shared" si="46"/>
        <v/>
      </c>
      <c r="CQ35" s="113" t="str">
        <f t="shared" si="47"/>
        <v/>
      </c>
      <c r="CR35" s="113" t="str">
        <f t="shared" si="48"/>
        <v/>
      </c>
      <c r="CS35" s="113" t="str">
        <f t="shared" si="49"/>
        <v/>
      </c>
      <c r="CT35" s="113" t="str">
        <f t="shared" si="50"/>
        <v/>
      </c>
      <c r="CU35" s="113" t="str">
        <f t="shared" si="51"/>
        <v/>
      </c>
      <c r="CV35" s="113" t="str">
        <f t="shared" si="52"/>
        <v/>
      </c>
      <c r="CW35" s="113" t="str">
        <f t="shared" si="53"/>
        <v/>
      </c>
      <c r="CX35" s="113" t="str">
        <f t="shared" si="54"/>
        <v/>
      </c>
      <c r="CY35" s="113" t="str">
        <f t="shared" si="55"/>
        <v/>
      </c>
      <c r="CZ35" s="113" t="str">
        <f t="shared" si="56"/>
        <v/>
      </c>
      <c r="DA35" s="113" t="str">
        <f t="shared" si="57"/>
        <v/>
      </c>
      <c r="DB35" s="113" t="str">
        <f t="shared" si="58"/>
        <v/>
      </c>
      <c r="DC35" s="113" t="str">
        <f t="shared" si="59"/>
        <v/>
      </c>
      <c r="DD35" s="113" t="str">
        <f t="shared" si="60"/>
        <v/>
      </c>
      <c r="DE35" s="113" t="str">
        <f t="shared" si="61"/>
        <v/>
      </c>
      <c r="DF35" s="113" t="str">
        <f t="shared" si="62"/>
        <v/>
      </c>
      <c r="DG35" s="113" t="str">
        <f t="shared" si="63"/>
        <v/>
      </c>
      <c r="DH35" s="113" t="str">
        <f t="shared" si="64"/>
        <v/>
      </c>
      <c r="DI35" s="113" t="str">
        <f t="shared" si="65"/>
        <v/>
      </c>
      <c r="DJ35" s="113" t="str">
        <f t="shared" si="66"/>
        <v/>
      </c>
      <c r="DK35" s="113" t="str">
        <f t="shared" si="67"/>
        <v/>
      </c>
      <c r="DL35" s="113" t="str">
        <f t="shared" si="68"/>
        <v/>
      </c>
      <c r="DM35" s="113" t="str">
        <f t="shared" si="69"/>
        <v/>
      </c>
      <c r="DN35" s="113" t="str">
        <f t="shared" si="70"/>
        <v/>
      </c>
      <c r="DO35" s="113" t="str">
        <f t="shared" si="71"/>
        <v/>
      </c>
      <c r="DP35" s="113" t="str">
        <f t="shared" si="72"/>
        <v/>
      </c>
      <c r="DQ35" s="113" t="str">
        <f t="shared" si="73"/>
        <v/>
      </c>
      <c r="DR35" s="113" t="str">
        <f t="shared" si="74"/>
        <v/>
      </c>
      <c r="DS35" s="113" t="str">
        <f t="shared" si="75"/>
        <v/>
      </c>
      <c r="DT35" s="113" t="str">
        <f t="shared" si="76"/>
        <v/>
      </c>
      <c r="DU35" s="113" t="str">
        <f t="shared" si="77"/>
        <v/>
      </c>
      <c r="DV35" s="113" t="str">
        <f t="shared" si="78"/>
        <v/>
      </c>
      <c r="DW35" s="113" t="str">
        <f t="shared" si="79"/>
        <v/>
      </c>
      <c r="DX35" s="113" t="str">
        <f t="shared" si="80"/>
        <v/>
      </c>
      <c r="DY35" s="113" t="str">
        <f t="shared" si="81"/>
        <v/>
      </c>
      <c r="DZ35" s="113" t="str">
        <f t="shared" si="82"/>
        <v/>
      </c>
      <c r="EA35" s="113" t="str">
        <f t="shared" si="83"/>
        <v/>
      </c>
      <c r="EB35" s="113" t="str">
        <f t="shared" si="84"/>
        <v/>
      </c>
      <c r="EC35" s="113" t="str">
        <f t="shared" si="85"/>
        <v/>
      </c>
      <c r="ED35" s="113" t="str">
        <f t="shared" si="86"/>
        <v/>
      </c>
      <c r="EE35" s="113" t="str">
        <f t="shared" si="87"/>
        <v/>
      </c>
      <c r="EF35" s="113" t="str">
        <f t="shared" si="88"/>
        <v/>
      </c>
      <c r="EG35" s="113" t="str">
        <f t="shared" si="89"/>
        <v/>
      </c>
      <c r="EH35" s="113" t="str">
        <f t="shared" si="90"/>
        <v/>
      </c>
      <c r="EI35" s="113" t="str">
        <f t="shared" si="91"/>
        <v/>
      </c>
      <c r="EJ35" s="113" t="str">
        <f t="shared" si="92"/>
        <v/>
      </c>
      <c r="EK35" s="113" t="str">
        <f t="shared" si="93"/>
        <v/>
      </c>
      <c r="EL35" s="113" t="str">
        <f t="shared" si="94"/>
        <v/>
      </c>
      <c r="EM35" s="113" t="str">
        <f t="shared" si="95"/>
        <v/>
      </c>
      <c r="EN35" s="113" t="str">
        <f t="shared" si="96"/>
        <v/>
      </c>
      <c r="EO35" s="113" t="str">
        <f t="shared" si="97"/>
        <v/>
      </c>
      <c r="EP35" s="113" t="str">
        <f t="shared" si="98"/>
        <v/>
      </c>
      <c r="EQ35" s="113" t="str">
        <f t="shared" si="99"/>
        <v/>
      </c>
      <c r="ER35" s="113" t="str">
        <f t="shared" si="100"/>
        <v/>
      </c>
      <c r="ES35" s="113" t="str">
        <f t="shared" si="101"/>
        <v/>
      </c>
      <c r="ET35" s="660" t="str">
        <f t="shared" si="102"/>
        <v/>
      </c>
      <c r="EU35" s="660" t="str">
        <f t="shared" si="103"/>
        <v/>
      </c>
      <c r="EV35" s="660" t="str">
        <f t="shared" si="104"/>
        <v/>
      </c>
      <c r="EW35" s="660" t="str">
        <f t="shared" si="105"/>
        <v/>
      </c>
      <c r="EX35" s="660" t="str">
        <f t="shared" si="106"/>
        <v/>
      </c>
      <c r="EY35" s="660" t="str">
        <f t="shared" si="107"/>
        <v/>
      </c>
      <c r="EZ35" s="660" t="str">
        <f t="shared" si="108"/>
        <v/>
      </c>
      <c r="FA35" s="660" t="str">
        <f t="shared" si="109"/>
        <v/>
      </c>
      <c r="FB35" s="660" t="str">
        <f t="shared" si="110"/>
        <v/>
      </c>
      <c r="FC35" s="660" t="str">
        <f t="shared" si="111"/>
        <v/>
      </c>
      <c r="FD35" s="660" t="str">
        <f t="shared" si="112"/>
        <v/>
      </c>
      <c r="FE35" s="660" t="str">
        <f t="shared" si="113"/>
        <v/>
      </c>
      <c r="FF35" s="660" t="str">
        <f t="shared" si="114"/>
        <v/>
      </c>
      <c r="FG35" s="660" t="str">
        <f t="shared" si="115"/>
        <v/>
      </c>
      <c r="FH35" s="660" t="str">
        <f t="shared" si="116"/>
        <v/>
      </c>
      <c r="FI35" s="660" t="str">
        <f t="shared" si="117"/>
        <v/>
      </c>
      <c r="FJ35" s="660" t="str">
        <f t="shared" si="118"/>
        <v/>
      </c>
      <c r="FK35" s="660" t="str">
        <f t="shared" si="119"/>
        <v/>
      </c>
      <c r="FL35" s="660" t="str">
        <f t="shared" si="120"/>
        <v/>
      </c>
      <c r="FM35" s="660" t="str">
        <f t="shared" si="121"/>
        <v/>
      </c>
      <c r="FN35" s="660" t="str">
        <f t="shared" si="122"/>
        <v/>
      </c>
      <c r="FO35" s="660" t="str">
        <f t="shared" si="123"/>
        <v/>
      </c>
      <c r="FP35" s="660" t="str">
        <f t="shared" si="124"/>
        <v/>
      </c>
      <c r="FQ35" s="660" t="str">
        <f t="shared" si="125"/>
        <v/>
      </c>
      <c r="FR35" s="660" t="str">
        <f t="shared" si="126"/>
        <v/>
      </c>
      <c r="FS35" s="660" t="str">
        <f t="shared" si="127"/>
        <v/>
      </c>
      <c r="FT35" s="660" t="str">
        <f t="shared" si="128"/>
        <v/>
      </c>
      <c r="FU35" s="660" t="str">
        <f t="shared" si="129"/>
        <v/>
      </c>
      <c r="FV35" s="660" t="str">
        <f t="shared" si="130"/>
        <v/>
      </c>
      <c r="FW35" s="660" t="str">
        <f t="shared" si="131"/>
        <v/>
      </c>
      <c r="FX35" s="660" t="str">
        <f t="shared" si="132"/>
        <v/>
      </c>
      <c r="FY35" s="660" t="str">
        <f t="shared" si="133"/>
        <v/>
      </c>
      <c r="FZ35" s="660" t="str">
        <f t="shared" si="134"/>
        <v/>
      </c>
      <c r="GA35" s="660" t="str">
        <f t="shared" si="135"/>
        <v/>
      </c>
      <c r="GB35" s="660" t="str">
        <f t="shared" si="136"/>
        <v/>
      </c>
      <c r="GC35" s="660" t="str">
        <f t="shared" si="137"/>
        <v/>
      </c>
      <c r="GD35" s="660" t="str">
        <f t="shared" si="138"/>
        <v/>
      </c>
      <c r="GE35" s="660" t="str">
        <f t="shared" si="139"/>
        <v/>
      </c>
      <c r="GF35" s="660" t="str">
        <f t="shared" si="140"/>
        <v/>
      </c>
      <c r="GG35" s="660" t="str">
        <f t="shared" si="141"/>
        <v/>
      </c>
      <c r="GH35" s="660" t="str">
        <f t="shared" si="142"/>
        <v/>
      </c>
      <c r="GI35" s="660" t="str">
        <f t="shared" si="143"/>
        <v/>
      </c>
      <c r="GJ35" s="660" t="str">
        <f t="shared" si="144"/>
        <v/>
      </c>
      <c r="GK35" s="660" t="str">
        <f t="shared" si="145"/>
        <v/>
      </c>
      <c r="GL35" s="660" t="str">
        <f t="shared" si="146"/>
        <v/>
      </c>
      <c r="GM35" s="661" t="str">
        <f t="shared" si="147"/>
        <v/>
      </c>
      <c r="GN35" s="661" t="str">
        <f t="shared" si="148"/>
        <v/>
      </c>
      <c r="GO35" s="661" t="str">
        <f t="shared" si="149"/>
        <v/>
      </c>
      <c r="GP35" s="661" t="str">
        <f t="shared" si="150"/>
        <v/>
      </c>
      <c r="GQ35" s="661" t="str">
        <f t="shared" si="151"/>
        <v/>
      </c>
      <c r="GR35" s="113" t="str">
        <f t="shared" si="152"/>
        <v/>
      </c>
      <c r="GS35" s="113" t="str">
        <f t="shared" si="153"/>
        <v/>
      </c>
      <c r="GT35" s="113" t="str">
        <f t="shared" si="154"/>
        <v/>
      </c>
      <c r="GU35" s="113" t="str">
        <f t="shared" si="155"/>
        <v/>
      </c>
      <c r="GV35" s="113" t="str">
        <f t="shared" si="156"/>
        <v/>
      </c>
      <c r="GW35" s="113" t="str">
        <f t="shared" si="157"/>
        <v/>
      </c>
      <c r="GX35" s="113" t="str">
        <f t="shared" si="158"/>
        <v/>
      </c>
      <c r="GY35" s="113" t="str">
        <f t="shared" si="159"/>
        <v/>
      </c>
      <c r="GZ35" s="113" t="str">
        <f t="shared" si="160"/>
        <v/>
      </c>
      <c r="HA35" s="113" t="str">
        <f t="shared" si="161"/>
        <v/>
      </c>
      <c r="HB35" s="113" t="str">
        <f t="shared" si="162"/>
        <v/>
      </c>
      <c r="HC35" s="113" t="str">
        <f t="shared" si="163"/>
        <v/>
      </c>
      <c r="HD35" s="113" t="str">
        <f t="shared" si="164"/>
        <v/>
      </c>
      <c r="HE35" s="113" t="str">
        <f t="shared" si="165"/>
        <v/>
      </c>
      <c r="HF35" s="113" t="str">
        <f t="shared" si="166"/>
        <v/>
      </c>
      <c r="HG35" s="113" t="str">
        <f t="shared" si="167"/>
        <v/>
      </c>
      <c r="HH35" s="113" t="str">
        <f t="shared" si="168"/>
        <v/>
      </c>
      <c r="HI35" s="113" t="str">
        <f t="shared" si="169"/>
        <v/>
      </c>
      <c r="HJ35" s="113" t="str">
        <f t="shared" si="170"/>
        <v/>
      </c>
      <c r="HK35" s="113" t="str">
        <f t="shared" si="171"/>
        <v/>
      </c>
    </row>
    <row r="36" spans="1:219" ht="13.2" customHeight="1">
      <c r="A36" s="146" t="str">
        <f t="shared" si="172"/>
        <v/>
      </c>
      <c r="B36" s="836"/>
      <c r="C36" s="837"/>
      <c r="D36" s="838"/>
      <c r="E36" s="839"/>
      <c r="F36" s="839"/>
      <c r="G36" s="839"/>
      <c r="H36" s="839"/>
      <c r="I36" s="839"/>
      <c r="J36" s="840"/>
      <c r="K36" s="227">
        <f t="shared" si="408"/>
        <v>0</v>
      </c>
      <c r="L36" s="227">
        <f t="shared" si="0"/>
        <v>0</v>
      </c>
      <c r="M36" s="841"/>
      <c r="N36" s="841"/>
      <c r="O36" s="841"/>
      <c r="P36" s="581" t="str">
        <f t="shared" si="407"/>
        <v/>
      </c>
      <c r="Q36" s="582" t="str">
        <f>IF(H36="","",P36/($P$6*VLOOKUP(C36,'DCA Underwriting Assumptions'!$J$77:$K$82,2,FALSE)))</f>
        <v/>
      </c>
      <c r="R36" s="739"/>
      <c r="S36" s="659"/>
      <c r="T36" s="113" t="str">
        <f t="shared" si="2"/>
        <v/>
      </c>
      <c r="U36" s="113" t="str">
        <f t="shared" si="3"/>
        <v/>
      </c>
      <c r="V36" s="113" t="str">
        <f t="shared" si="4"/>
        <v/>
      </c>
      <c r="W36" s="113" t="str">
        <f t="shared" si="5"/>
        <v/>
      </c>
      <c r="X36" s="113" t="str">
        <f t="shared" si="6"/>
        <v/>
      </c>
      <c r="Y36" s="113" t="str">
        <f t="shared" si="7"/>
        <v/>
      </c>
      <c r="Z36" s="113" t="str">
        <f t="shared" si="8"/>
        <v/>
      </c>
      <c r="AA36" s="113" t="str">
        <f t="shared" si="9"/>
        <v/>
      </c>
      <c r="AB36" s="113" t="str">
        <f t="shared" si="10"/>
        <v/>
      </c>
      <c r="AC36" s="113" t="str">
        <f t="shared" si="11"/>
        <v/>
      </c>
      <c r="AD36" s="113" t="str">
        <f t="shared" si="12"/>
        <v/>
      </c>
      <c r="AE36" s="113" t="str">
        <f t="shared" si="13"/>
        <v/>
      </c>
      <c r="AF36" s="113" t="str">
        <f t="shared" si="14"/>
        <v/>
      </c>
      <c r="AG36" s="113" t="str">
        <f t="shared" si="15"/>
        <v/>
      </c>
      <c r="AH36" s="113" t="str">
        <f t="shared" si="16"/>
        <v/>
      </c>
      <c r="AI36" s="113" t="str">
        <f t="shared" si="17"/>
        <v/>
      </c>
      <c r="AJ36" s="113" t="str">
        <f t="shared" si="18"/>
        <v/>
      </c>
      <c r="AK36" s="113" t="str">
        <f t="shared" si="19"/>
        <v/>
      </c>
      <c r="AL36" s="113" t="str">
        <f t="shared" si="20"/>
        <v/>
      </c>
      <c r="AM36" s="113" t="str">
        <f t="shared" si="21"/>
        <v/>
      </c>
      <c r="AN36" s="113" t="str">
        <f t="shared" si="174"/>
        <v/>
      </c>
      <c r="AO36" s="113" t="str">
        <f t="shared" si="175"/>
        <v/>
      </c>
      <c r="AP36" s="113" t="str">
        <f t="shared" si="176"/>
        <v/>
      </c>
      <c r="AQ36" s="113" t="str">
        <f t="shared" si="177"/>
        <v/>
      </c>
      <c r="AR36" s="113" t="str">
        <f t="shared" si="178"/>
        <v/>
      </c>
      <c r="AS36" s="113" t="str">
        <f t="shared" si="179"/>
        <v/>
      </c>
      <c r="AT36" s="113" t="str">
        <f t="shared" si="180"/>
        <v/>
      </c>
      <c r="AU36" s="113" t="str">
        <f t="shared" si="181"/>
        <v/>
      </c>
      <c r="AV36" s="113" t="str">
        <f t="shared" si="182"/>
        <v/>
      </c>
      <c r="AW36" s="113" t="str">
        <f t="shared" si="183"/>
        <v/>
      </c>
      <c r="AX36" s="113" t="str">
        <f t="shared" si="184"/>
        <v/>
      </c>
      <c r="AY36" s="113" t="str">
        <f t="shared" si="185"/>
        <v/>
      </c>
      <c r="AZ36" s="113" t="str">
        <f t="shared" si="186"/>
        <v/>
      </c>
      <c r="BA36" s="113" t="str">
        <f t="shared" si="187"/>
        <v/>
      </c>
      <c r="BB36" s="113" t="str">
        <f t="shared" si="188"/>
        <v/>
      </c>
      <c r="BC36" s="113" t="str">
        <f t="shared" si="189"/>
        <v/>
      </c>
      <c r="BD36" s="113" t="str">
        <f t="shared" si="190"/>
        <v/>
      </c>
      <c r="BE36" s="113" t="str">
        <f t="shared" si="191"/>
        <v/>
      </c>
      <c r="BF36" s="113" t="str">
        <f t="shared" si="192"/>
        <v/>
      </c>
      <c r="BG36" s="113" t="str">
        <f t="shared" si="193"/>
        <v/>
      </c>
      <c r="BH36" s="113" t="str">
        <f t="shared" si="194"/>
        <v/>
      </c>
      <c r="BI36" s="113" t="str">
        <f t="shared" si="195"/>
        <v/>
      </c>
      <c r="BJ36" s="113" t="str">
        <f t="shared" si="196"/>
        <v/>
      </c>
      <c r="BK36" s="113" t="str">
        <f t="shared" si="197"/>
        <v/>
      </c>
      <c r="BL36" s="113" t="str">
        <f t="shared" si="198"/>
        <v/>
      </c>
      <c r="BM36" s="113" t="str">
        <f t="shared" si="199"/>
        <v/>
      </c>
      <c r="BN36" s="113" t="str">
        <f t="shared" si="200"/>
        <v/>
      </c>
      <c r="BO36" s="113" t="str">
        <f t="shared" si="201"/>
        <v/>
      </c>
      <c r="BP36" s="113" t="str">
        <f t="shared" si="202"/>
        <v/>
      </c>
      <c r="BQ36" s="113" t="str">
        <f t="shared" si="203"/>
        <v/>
      </c>
      <c r="BR36" s="113" t="str">
        <f t="shared" si="22"/>
        <v/>
      </c>
      <c r="BS36" s="113" t="str">
        <f t="shared" si="23"/>
        <v/>
      </c>
      <c r="BT36" s="113" t="str">
        <f t="shared" si="24"/>
        <v/>
      </c>
      <c r="BU36" s="113" t="str">
        <f t="shared" si="25"/>
        <v/>
      </c>
      <c r="BV36" s="113" t="str">
        <f t="shared" si="26"/>
        <v/>
      </c>
      <c r="BW36" s="113" t="str">
        <f t="shared" si="27"/>
        <v/>
      </c>
      <c r="BX36" s="113" t="str">
        <f t="shared" si="28"/>
        <v/>
      </c>
      <c r="BY36" s="113" t="str">
        <f t="shared" si="29"/>
        <v/>
      </c>
      <c r="BZ36" s="113" t="str">
        <f t="shared" si="30"/>
        <v/>
      </c>
      <c r="CA36" s="113" t="str">
        <f t="shared" si="31"/>
        <v/>
      </c>
      <c r="CB36" s="113" t="str">
        <f t="shared" si="32"/>
        <v/>
      </c>
      <c r="CC36" s="113" t="str">
        <f t="shared" si="33"/>
        <v/>
      </c>
      <c r="CD36" s="113" t="str">
        <f t="shared" si="34"/>
        <v/>
      </c>
      <c r="CE36" s="113" t="str">
        <f t="shared" si="35"/>
        <v/>
      </c>
      <c r="CF36" s="113" t="str">
        <f t="shared" si="36"/>
        <v/>
      </c>
      <c r="CG36" s="113" t="str">
        <f t="shared" si="37"/>
        <v/>
      </c>
      <c r="CH36" s="113" t="str">
        <f t="shared" si="38"/>
        <v/>
      </c>
      <c r="CI36" s="113" t="str">
        <f t="shared" si="39"/>
        <v/>
      </c>
      <c r="CJ36" s="113" t="str">
        <f t="shared" si="40"/>
        <v/>
      </c>
      <c r="CK36" s="113" t="str">
        <f t="shared" si="41"/>
        <v/>
      </c>
      <c r="CL36" s="113" t="str">
        <f t="shared" si="42"/>
        <v/>
      </c>
      <c r="CM36" s="113" t="str">
        <f t="shared" si="43"/>
        <v/>
      </c>
      <c r="CN36" s="113" t="str">
        <f t="shared" si="44"/>
        <v/>
      </c>
      <c r="CO36" s="113" t="str">
        <f t="shared" si="45"/>
        <v/>
      </c>
      <c r="CP36" s="113" t="str">
        <f t="shared" si="46"/>
        <v/>
      </c>
      <c r="CQ36" s="113" t="str">
        <f t="shared" si="47"/>
        <v/>
      </c>
      <c r="CR36" s="113" t="str">
        <f t="shared" si="48"/>
        <v/>
      </c>
      <c r="CS36" s="113" t="str">
        <f t="shared" si="49"/>
        <v/>
      </c>
      <c r="CT36" s="113" t="str">
        <f t="shared" si="50"/>
        <v/>
      </c>
      <c r="CU36" s="113" t="str">
        <f t="shared" si="51"/>
        <v/>
      </c>
      <c r="CV36" s="113" t="str">
        <f t="shared" si="52"/>
        <v/>
      </c>
      <c r="CW36" s="113" t="str">
        <f t="shared" si="53"/>
        <v/>
      </c>
      <c r="CX36" s="113" t="str">
        <f t="shared" si="54"/>
        <v/>
      </c>
      <c r="CY36" s="113" t="str">
        <f t="shared" si="55"/>
        <v/>
      </c>
      <c r="CZ36" s="113" t="str">
        <f t="shared" si="56"/>
        <v/>
      </c>
      <c r="DA36" s="113" t="str">
        <f t="shared" si="57"/>
        <v/>
      </c>
      <c r="DB36" s="113" t="str">
        <f t="shared" si="58"/>
        <v/>
      </c>
      <c r="DC36" s="113" t="str">
        <f t="shared" si="59"/>
        <v/>
      </c>
      <c r="DD36" s="113" t="str">
        <f t="shared" si="60"/>
        <v/>
      </c>
      <c r="DE36" s="113" t="str">
        <f t="shared" si="61"/>
        <v/>
      </c>
      <c r="DF36" s="113" t="str">
        <f t="shared" si="62"/>
        <v/>
      </c>
      <c r="DG36" s="113" t="str">
        <f t="shared" si="63"/>
        <v/>
      </c>
      <c r="DH36" s="113" t="str">
        <f t="shared" si="64"/>
        <v/>
      </c>
      <c r="DI36" s="113" t="str">
        <f t="shared" si="65"/>
        <v/>
      </c>
      <c r="DJ36" s="113" t="str">
        <f t="shared" si="66"/>
        <v/>
      </c>
      <c r="DK36" s="113" t="str">
        <f t="shared" si="67"/>
        <v/>
      </c>
      <c r="DL36" s="113" t="str">
        <f t="shared" si="68"/>
        <v/>
      </c>
      <c r="DM36" s="113" t="str">
        <f t="shared" si="69"/>
        <v/>
      </c>
      <c r="DN36" s="113" t="str">
        <f t="shared" si="70"/>
        <v/>
      </c>
      <c r="DO36" s="113" t="str">
        <f t="shared" si="71"/>
        <v/>
      </c>
      <c r="DP36" s="113" t="str">
        <f t="shared" si="72"/>
        <v/>
      </c>
      <c r="DQ36" s="113" t="str">
        <f t="shared" si="73"/>
        <v/>
      </c>
      <c r="DR36" s="113" t="str">
        <f t="shared" si="74"/>
        <v/>
      </c>
      <c r="DS36" s="113" t="str">
        <f t="shared" si="75"/>
        <v/>
      </c>
      <c r="DT36" s="113" t="str">
        <f t="shared" si="76"/>
        <v/>
      </c>
      <c r="DU36" s="113" t="str">
        <f t="shared" si="77"/>
        <v/>
      </c>
      <c r="DV36" s="113" t="str">
        <f t="shared" si="78"/>
        <v/>
      </c>
      <c r="DW36" s="113" t="str">
        <f t="shared" si="79"/>
        <v/>
      </c>
      <c r="DX36" s="113" t="str">
        <f t="shared" si="80"/>
        <v/>
      </c>
      <c r="DY36" s="113" t="str">
        <f t="shared" si="81"/>
        <v/>
      </c>
      <c r="DZ36" s="113" t="str">
        <f t="shared" si="82"/>
        <v/>
      </c>
      <c r="EA36" s="113" t="str">
        <f t="shared" si="83"/>
        <v/>
      </c>
      <c r="EB36" s="113" t="str">
        <f t="shared" si="84"/>
        <v/>
      </c>
      <c r="EC36" s="113" t="str">
        <f t="shared" si="85"/>
        <v/>
      </c>
      <c r="ED36" s="113" t="str">
        <f t="shared" si="86"/>
        <v/>
      </c>
      <c r="EE36" s="113" t="str">
        <f t="shared" si="87"/>
        <v/>
      </c>
      <c r="EF36" s="113" t="str">
        <f t="shared" si="88"/>
        <v/>
      </c>
      <c r="EG36" s="113" t="str">
        <f t="shared" si="89"/>
        <v/>
      </c>
      <c r="EH36" s="113" t="str">
        <f t="shared" si="90"/>
        <v/>
      </c>
      <c r="EI36" s="113" t="str">
        <f t="shared" si="91"/>
        <v/>
      </c>
      <c r="EJ36" s="113" t="str">
        <f t="shared" si="92"/>
        <v/>
      </c>
      <c r="EK36" s="113" t="str">
        <f t="shared" si="93"/>
        <v/>
      </c>
      <c r="EL36" s="113" t="str">
        <f t="shared" si="94"/>
        <v/>
      </c>
      <c r="EM36" s="113" t="str">
        <f t="shared" si="95"/>
        <v/>
      </c>
      <c r="EN36" s="113" t="str">
        <f t="shared" si="96"/>
        <v/>
      </c>
      <c r="EO36" s="113" t="str">
        <f t="shared" si="97"/>
        <v/>
      </c>
      <c r="EP36" s="113" t="str">
        <f t="shared" si="98"/>
        <v/>
      </c>
      <c r="EQ36" s="113" t="str">
        <f t="shared" si="99"/>
        <v/>
      </c>
      <c r="ER36" s="113" t="str">
        <f t="shared" si="100"/>
        <v/>
      </c>
      <c r="ES36" s="113" t="str">
        <f t="shared" si="101"/>
        <v/>
      </c>
      <c r="ET36" s="660" t="str">
        <f t="shared" si="102"/>
        <v/>
      </c>
      <c r="EU36" s="660" t="str">
        <f t="shared" si="103"/>
        <v/>
      </c>
      <c r="EV36" s="660" t="str">
        <f t="shared" si="104"/>
        <v/>
      </c>
      <c r="EW36" s="660" t="str">
        <f t="shared" si="105"/>
        <v/>
      </c>
      <c r="EX36" s="660" t="str">
        <f t="shared" si="106"/>
        <v/>
      </c>
      <c r="EY36" s="660" t="str">
        <f t="shared" si="107"/>
        <v/>
      </c>
      <c r="EZ36" s="660" t="str">
        <f t="shared" si="108"/>
        <v/>
      </c>
      <c r="FA36" s="660" t="str">
        <f t="shared" si="109"/>
        <v/>
      </c>
      <c r="FB36" s="660" t="str">
        <f t="shared" si="110"/>
        <v/>
      </c>
      <c r="FC36" s="660" t="str">
        <f t="shared" si="111"/>
        <v/>
      </c>
      <c r="FD36" s="660" t="str">
        <f t="shared" si="112"/>
        <v/>
      </c>
      <c r="FE36" s="660" t="str">
        <f t="shared" si="113"/>
        <v/>
      </c>
      <c r="FF36" s="660" t="str">
        <f t="shared" si="114"/>
        <v/>
      </c>
      <c r="FG36" s="660" t="str">
        <f t="shared" si="115"/>
        <v/>
      </c>
      <c r="FH36" s="660" t="str">
        <f t="shared" si="116"/>
        <v/>
      </c>
      <c r="FI36" s="660" t="str">
        <f t="shared" si="117"/>
        <v/>
      </c>
      <c r="FJ36" s="660" t="str">
        <f t="shared" si="118"/>
        <v/>
      </c>
      <c r="FK36" s="660" t="str">
        <f t="shared" si="119"/>
        <v/>
      </c>
      <c r="FL36" s="660" t="str">
        <f t="shared" si="120"/>
        <v/>
      </c>
      <c r="FM36" s="660" t="str">
        <f t="shared" si="121"/>
        <v/>
      </c>
      <c r="FN36" s="660" t="str">
        <f t="shared" si="122"/>
        <v/>
      </c>
      <c r="FO36" s="660" t="str">
        <f t="shared" si="123"/>
        <v/>
      </c>
      <c r="FP36" s="660" t="str">
        <f t="shared" si="124"/>
        <v/>
      </c>
      <c r="FQ36" s="660" t="str">
        <f t="shared" si="125"/>
        <v/>
      </c>
      <c r="FR36" s="660" t="str">
        <f t="shared" si="126"/>
        <v/>
      </c>
      <c r="FS36" s="660" t="str">
        <f t="shared" si="127"/>
        <v/>
      </c>
      <c r="FT36" s="660" t="str">
        <f t="shared" si="128"/>
        <v/>
      </c>
      <c r="FU36" s="660" t="str">
        <f t="shared" si="129"/>
        <v/>
      </c>
      <c r="FV36" s="660" t="str">
        <f t="shared" si="130"/>
        <v/>
      </c>
      <c r="FW36" s="660" t="str">
        <f t="shared" si="131"/>
        <v/>
      </c>
      <c r="FX36" s="660" t="str">
        <f t="shared" si="132"/>
        <v/>
      </c>
      <c r="FY36" s="660" t="str">
        <f t="shared" si="133"/>
        <v/>
      </c>
      <c r="FZ36" s="660" t="str">
        <f t="shared" si="134"/>
        <v/>
      </c>
      <c r="GA36" s="660" t="str">
        <f t="shared" si="135"/>
        <v/>
      </c>
      <c r="GB36" s="660" t="str">
        <f t="shared" si="136"/>
        <v/>
      </c>
      <c r="GC36" s="660" t="str">
        <f t="shared" si="137"/>
        <v/>
      </c>
      <c r="GD36" s="660" t="str">
        <f t="shared" si="138"/>
        <v/>
      </c>
      <c r="GE36" s="660" t="str">
        <f t="shared" si="139"/>
        <v/>
      </c>
      <c r="GF36" s="660" t="str">
        <f t="shared" si="140"/>
        <v/>
      </c>
      <c r="GG36" s="660" t="str">
        <f t="shared" si="141"/>
        <v/>
      </c>
      <c r="GH36" s="660" t="str">
        <f t="shared" si="142"/>
        <v/>
      </c>
      <c r="GI36" s="660" t="str">
        <f t="shared" si="143"/>
        <v/>
      </c>
      <c r="GJ36" s="660" t="str">
        <f t="shared" si="144"/>
        <v/>
      </c>
      <c r="GK36" s="660" t="str">
        <f t="shared" si="145"/>
        <v/>
      </c>
      <c r="GL36" s="660" t="str">
        <f t="shared" si="146"/>
        <v/>
      </c>
      <c r="GM36" s="661" t="str">
        <f t="shared" si="147"/>
        <v/>
      </c>
      <c r="GN36" s="661" t="str">
        <f t="shared" si="148"/>
        <v/>
      </c>
      <c r="GO36" s="661" t="str">
        <f t="shared" si="149"/>
        <v/>
      </c>
      <c r="GP36" s="661" t="str">
        <f t="shared" si="150"/>
        <v/>
      </c>
      <c r="GQ36" s="661" t="str">
        <f t="shared" si="151"/>
        <v/>
      </c>
      <c r="GR36" s="113" t="str">
        <f t="shared" si="152"/>
        <v/>
      </c>
      <c r="GS36" s="113" t="str">
        <f t="shared" si="153"/>
        <v/>
      </c>
      <c r="GT36" s="113" t="str">
        <f t="shared" si="154"/>
        <v/>
      </c>
      <c r="GU36" s="113" t="str">
        <f t="shared" si="155"/>
        <v/>
      </c>
      <c r="GV36" s="113" t="str">
        <f t="shared" si="156"/>
        <v/>
      </c>
      <c r="GW36" s="113" t="str">
        <f t="shared" si="157"/>
        <v/>
      </c>
      <c r="GX36" s="113" t="str">
        <f t="shared" si="158"/>
        <v/>
      </c>
      <c r="GY36" s="113" t="str">
        <f t="shared" si="159"/>
        <v/>
      </c>
      <c r="GZ36" s="113" t="str">
        <f t="shared" si="160"/>
        <v/>
      </c>
      <c r="HA36" s="113" t="str">
        <f t="shared" si="161"/>
        <v/>
      </c>
      <c r="HB36" s="113" t="str">
        <f t="shared" si="162"/>
        <v/>
      </c>
      <c r="HC36" s="113" t="str">
        <f t="shared" si="163"/>
        <v/>
      </c>
      <c r="HD36" s="113" t="str">
        <f t="shared" si="164"/>
        <v/>
      </c>
      <c r="HE36" s="113" t="str">
        <f t="shared" si="165"/>
        <v/>
      </c>
      <c r="HF36" s="113" t="str">
        <f t="shared" si="166"/>
        <v/>
      </c>
      <c r="HG36" s="113" t="str">
        <f t="shared" si="167"/>
        <v/>
      </c>
      <c r="HH36" s="113" t="str">
        <f t="shared" si="168"/>
        <v/>
      </c>
      <c r="HI36" s="113" t="str">
        <f t="shared" si="169"/>
        <v/>
      </c>
      <c r="HJ36" s="113" t="str">
        <f t="shared" si="170"/>
        <v/>
      </c>
      <c r="HK36" s="113" t="str">
        <f t="shared" si="171"/>
        <v/>
      </c>
    </row>
    <row r="37" spans="1:219" ht="13.2" customHeight="1">
      <c r="A37" s="146" t="str">
        <f t="shared" si="172"/>
        <v/>
      </c>
      <c r="B37" s="836"/>
      <c r="C37" s="837"/>
      <c r="D37" s="838"/>
      <c r="E37" s="839"/>
      <c r="F37" s="839"/>
      <c r="G37" s="839"/>
      <c r="H37" s="839"/>
      <c r="I37" s="839"/>
      <c r="J37" s="840"/>
      <c r="K37" s="227">
        <f t="shared" si="408"/>
        <v>0</v>
      </c>
      <c r="L37" s="227">
        <f t="shared" si="0"/>
        <v>0</v>
      </c>
      <c r="M37" s="841"/>
      <c r="N37" s="841"/>
      <c r="O37" s="841"/>
      <c r="P37" s="581" t="str">
        <f t="shared" si="407"/>
        <v/>
      </c>
      <c r="Q37" s="582" t="str">
        <f>IF(H37="","",P37/($P$6*VLOOKUP(C37,'DCA Underwriting Assumptions'!$J$77:$K$82,2,FALSE)))</f>
        <v/>
      </c>
      <c r="R37" s="739"/>
      <c r="S37" s="659"/>
      <c r="T37" s="113" t="str">
        <f t="shared" si="2"/>
        <v/>
      </c>
      <c r="U37" s="113" t="str">
        <f t="shared" si="3"/>
        <v/>
      </c>
      <c r="V37" s="113" t="str">
        <f t="shared" si="4"/>
        <v/>
      </c>
      <c r="W37" s="113" t="str">
        <f t="shared" si="5"/>
        <v/>
      </c>
      <c r="X37" s="113" t="str">
        <f t="shared" si="6"/>
        <v/>
      </c>
      <c r="Y37" s="113" t="str">
        <f t="shared" si="7"/>
        <v/>
      </c>
      <c r="Z37" s="113" t="str">
        <f t="shared" si="8"/>
        <v/>
      </c>
      <c r="AA37" s="113" t="str">
        <f t="shared" si="9"/>
        <v/>
      </c>
      <c r="AB37" s="113" t="str">
        <f t="shared" si="10"/>
        <v/>
      </c>
      <c r="AC37" s="113" t="str">
        <f t="shared" si="11"/>
        <v/>
      </c>
      <c r="AD37" s="113" t="str">
        <f t="shared" si="12"/>
        <v/>
      </c>
      <c r="AE37" s="113" t="str">
        <f t="shared" si="13"/>
        <v/>
      </c>
      <c r="AF37" s="113" t="str">
        <f t="shared" si="14"/>
        <v/>
      </c>
      <c r="AG37" s="113" t="str">
        <f t="shared" si="15"/>
        <v/>
      </c>
      <c r="AH37" s="113" t="str">
        <f t="shared" si="16"/>
        <v/>
      </c>
      <c r="AI37" s="113" t="str">
        <f t="shared" si="17"/>
        <v/>
      </c>
      <c r="AJ37" s="113" t="str">
        <f t="shared" si="18"/>
        <v/>
      </c>
      <c r="AK37" s="113" t="str">
        <f t="shared" si="19"/>
        <v/>
      </c>
      <c r="AL37" s="113" t="str">
        <f t="shared" si="20"/>
        <v/>
      </c>
      <c r="AM37" s="113" t="str">
        <f t="shared" si="21"/>
        <v/>
      </c>
      <c r="AN37" s="113" t="str">
        <f t="shared" si="174"/>
        <v/>
      </c>
      <c r="AO37" s="113" t="str">
        <f t="shared" si="175"/>
        <v/>
      </c>
      <c r="AP37" s="113" t="str">
        <f t="shared" si="176"/>
        <v/>
      </c>
      <c r="AQ37" s="113" t="str">
        <f t="shared" si="177"/>
        <v/>
      </c>
      <c r="AR37" s="113" t="str">
        <f t="shared" si="178"/>
        <v/>
      </c>
      <c r="AS37" s="113" t="str">
        <f t="shared" si="179"/>
        <v/>
      </c>
      <c r="AT37" s="113" t="str">
        <f t="shared" si="180"/>
        <v/>
      </c>
      <c r="AU37" s="113" t="str">
        <f t="shared" si="181"/>
        <v/>
      </c>
      <c r="AV37" s="113" t="str">
        <f t="shared" si="182"/>
        <v/>
      </c>
      <c r="AW37" s="113" t="str">
        <f t="shared" si="183"/>
        <v/>
      </c>
      <c r="AX37" s="113" t="str">
        <f t="shared" si="184"/>
        <v/>
      </c>
      <c r="AY37" s="113" t="str">
        <f t="shared" si="185"/>
        <v/>
      </c>
      <c r="AZ37" s="113" t="str">
        <f t="shared" si="186"/>
        <v/>
      </c>
      <c r="BA37" s="113" t="str">
        <f t="shared" si="187"/>
        <v/>
      </c>
      <c r="BB37" s="113" t="str">
        <f t="shared" si="188"/>
        <v/>
      </c>
      <c r="BC37" s="113" t="str">
        <f t="shared" si="189"/>
        <v/>
      </c>
      <c r="BD37" s="113" t="str">
        <f t="shared" si="190"/>
        <v/>
      </c>
      <c r="BE37" s="113" t="str">
        <f t="shared" si="191"/>
        <v/>
      </c>
      <c r="BF37" s="113" t="str">
        <f t="shared" si="192"/>
        <v/>
      </c>
      <c r="BG37" s="113" t="str">
        <f t="shared" si="193"/>
        <v/>
      </c>
      <c r="BH37" s="113" t="str">
        <f t="shared" si="194"/>
        <v/>
      </c>
      <c r="BI37" s="113" t="str">
        <f t="shared" si="195"/>
        <v/>
      </c>
      <c r="BJ37" s="113" t="str">
        <f t="shared" si="196"/>
        <v/>
      </c>
      <c r="BK37" s="113" t="str">
        <f t="shared" si="197"/>
        <v/>
      </c>
      <c r="BL37" s="113" t="str">
        <f t="shared" si="198"/>
        <v/>
      </c>
      <c r="BM37" s="113" t="str">
        <f t="shared" si="199"/>
        <v/>
      </c>
      <c r="BN37" s="113" t="str">
        <f t="shared" si="200"/>
        <v/>
      </c>
      <c r="BO37" s="113" t="str">
        <f t="shared" si="201"/>
        <v/>
      </c>
      <c r="BP37" s="113" t="str">
        <f t="shared" si="202"/>
        <v/>
      </c>
      <c r="BQ37" s="113" t="str">
        <f t="shared" si="203"/>
        <v/>
      </c>
      <c r="BR37" s="113" t="str">
        <f t="shared" si="22"/>
        <v/>
      </c>
      <c r="BS37" s="113" t="str">
        <f t="shared" si="23"/>
        <v/>
      </c>
      <c r="BT37" s="113" t="str">
        <f t="shared" si="24"/>
        <v/>
      </c>
      <c r="BU37" s="113" t="str">
        <f t="shared" si="25"/>
        <v/>
      </c>
      <c r="BV37" s="113" t="str">
        <f t="shared" si="26"/>
        <v/>
      </c>
      <c r="BW37" s="113" t="str">
        <f t="shared" si="27"/>
        <v/>
      </c>
      <c r="BX37" s="113" t="str">
        <f t="shared" si="28"/>
        <v/>
      </c>
      <c r="BY37" s="113" t="str">
        <f t="shared" si="29"/>
        <v/>
      </c>
      <c r="BZ37" s="113" t="str">
        <f t="shared" si="30"/>
        <v/>
      </c>
      <c r="CA37" s="113" t="str">
        <f t="shared" si="31"/>
        <v/>
      </c>
      <c r="CB37" s="113" t="str">
        <f t="shared" si="32"/>
        <v/>
      </c>
      <c r="CC37" s="113" t="str">
        <f t="shared" si="33"/>
        <v/>
      </c>
      <c r="CD37" s="113" t="str">
        <f t="shared" si="34"/>
        <v/>
      </c>
      <c r="CE37" s="113" t="str">
        <f t="shared" si="35"/>
        <v/>
      </c>
      <c r="CF37" s="113" t="str">
        <f t="shared" si="36"/>
        <v/>
      </c>
      <c r="CG37" s="113" t="str">
        <f t="shared" si="37"/>
        <v/>
      </c>
      <c r="CH37" s="113" t="str">
        <f t="shared" si="38"/>
        <v/>
      </c>
      <c r="CI37" s="113" t="str">
        <f t="shared" si="39"/>
        <v/>
      </c>
      <c r="CJ37" s="113" t="str">
        <f t="shared" si="40"/>
        <v/>
      </c>
      <c r="CK37" s="113" t="str">
        <f t="shared" si="41"/>
        <v/>
      </c>
      <c r="CL37" s="113" t="str">
        <f t="shared" si="42"/>
        <v/>
      </c>
      <c r="CM37" s="113" t="str">
        <f t="shared" si="43"/>
        <v/>
      </c>
      <c r="CN37" s="113" t="str">
        <f t="shared" si="44"/>
        <v/>
      </c>
      <c r="CO37" s="113" t="str">
        <f t="shared" si="45"/>
        <v/>
      </c>
      <c r="CP37" s="113" t="str">
        <f t="shared" si="46"/>
        <v/>
      </c>
      <c r="CQ37" s="113" t="str">
        <f t="shared" si="47"/>
        <v/>
      </c>
      <c r="CR37" s="113" t="str">
        <f t="shared" si="48"/>
        <v/>
      </c>
      <c r="CS37" s="113" t="str">
        <f t="shared" si="49"/>
        <v/>
      </c>
      <c r="CT37" s="113" t="str">
        <f t="shared" si="50"/>
        <v/>
      </c>
      <c r="CU37" s="113" t="str">
        <f t="shared" si="51"/>
        <v/>
      </c>
      <c r="CV37" s="113" t="str">
        <f t="shared" si="52"/>
        <v/>
      </c>
      <c r="CW37" s="113" t="str">
        <f t="shared" si="53"/>
        <v/>
      </c>
      <c r="CX37" s="113" t="str">
        <f t="shared" si="54"/>
        <v/>
      </c>
      <c r="CY37" s="113" t="str">
        <f t="shared" si="55"/>
        <v/>
      </c>
      <c r="CZ37" s="113" t="str">
        <f t="shared" si="56"/>
        <v/>
      </c>
      <c r="DA37" s="113" t="str">
        <f t="shared" si="57"/>
        <v/>
      </c>
      <c r="DB37" s="113" t="str">
        <f t="shared" si="58"/>
        <v/>
      </c>
      <c r="DC37" s="113" t="str">
        <f t="shared" si="59"/>
        <v/>
      </c>
      <c r="DD37" s="113" t="str">
        <f t="shared" si="60"/>
        <v/>
      </c>
      <c r="DE37" s="113" t="str">
        <f t="shared" si="61"/>
        <v/>
      </c>
      <c r="DF37" s="113" t="str">
        <f t="shared" si="62"/>
        <v/>
      </c>
      <c r="DG37" s="113" t="str">
        <f t="shared" si="63"/>
        <v/>
      </c>
      <c r="DH37" s="113" t="str">
        <f t="shared" si="64"/>
        <v/>
      </c>
      <c r="DI37" s="113" t="str">
        <f t="shared" si="65"/>
        <v/>
      </c>
      <c r="DJ37" s="113" t="str">
        <f t="shared" si="66"/>
        <v/>
      </c>
      <c r="DK37" s="113" t="str">
        <f t="shared" si="67"/>
        <v/>
      </c>
      <c r="DL37" s="113" t="str">
        <f t="shared" si="68"/>
        <v/>
      </c>
      <c r="DM37" s="113" t="str">
        <f t="shared" si="69"/>
        <v/>
      </c>
      <c r="DN37" s="113" t="str">
        <f t="shared" si="70"/>
        <v/>
      </c>
      <c r="DO37" s="113" t="str">
        <f t="shared" si="71"/>
        <v/>
      </c>
      <c r="DP37" s="113" t="str">
        <f t="shared" si="72"/>
        <v/>
      </c>
      <c r="DQ37" s="113" t="str">
        <f t="shared" si="73"/>
        <v/>
      </c>
      <c r="DR37" s="113" t="str">
        <f t="shared" si="74"/>
        <v/>
      </c>
      <c r="DS37" s="113" t="str">
        <f t="shared" si="75"/>
        <v/>
      </c>
      <c r="DT37" s="113" t="str">
        <f t="shared" si="76"/>
        <v/>
      </c>
      <c r="DU37" s="113" t="str">
        <f t="shared" si="77"/>
        <v/>
      </c>
      <c r="DV37" s="113" t="str">
        <f t="shared" si="78"/>
        <v/>
      </c>
      <c r="DW37" s="113" t="str">
        <f t="shared" si="79"/>
        <v/>
      </c>
      <c r="DX37" s="113" t="str">
        <f t="shared" si="80"/>
        <v/>
      </c>
      <c r="DY37" s="113" t="str">
        <f t="shared" si="81"/>
        <v/>
      </c>
      <c r="DZ37" s="113" t="str">
        <f t="shared" si="82"/>
        <v/>
      </c>
      <c r="EA37" s="113" t="str">
        <f t="shared" si="83"/>
        <v/>
      </c>
      <c r="EB37" s="113" t="str">
        <f t="shared" si="84"/>
        <v/>
      </c>
      <c r="EC37" s="113" t="str">
        <f t="shared" si="85"/>
        <v/>
      </c>
      <c r="ED37" s="113" t="str">
        <f t="shared" si="86"/>
        <v/>
      </c>
      <c r="EE37" s="113" t="str">
        <f t="shared" si="87"/>
        <v/>
      </c>
      <c r="EF37" s="113" t="str">
        <f t="shared" si="88"/>
        <v/>
      </c>
      <c r="EG37" s="113" t="str">
        <f t="shared" si="89"/>
        <v/>
      </c>
      <c r="EH37" s="113" t="str">
        <f t="shared" si="90"/>
        <v/>
      </c>
      <c r="EI37" s="113" t="str">
        <f t="shared" si="91"/>
        <v/>
      </c>
      <c r="EJ37" s="113" t="str">
        <f t="shared" si="92"/>
        <v/>
      </c>
      <c r="EK37" s="113" t="str">
        <f t="shared" si="93"/>
        <v/>
      </c>
      <c r="EL37" s="113" t="str">
        <f t="shared" si="94"/>
        <v/>
      </c>
      <c r="EM37" s="113" t="str">
        <f t="shared" si="95"/>
        <v/>
      </c>
      <c r="EN37" s="113" t="str">
        <f t="shared" si="96"/>
        <v/>
      </c>
      <c r="EO37" s="113" t="str">
        <f t="shared" si="97"/>
        <v/>
      </c>
      <c r="EP37" s="113" t="str">
        <f t="shared" si="98"/>
        <v/>
      </c>
      <c r="EQ37" s="113" t="str">
        <f t="shared" si="99"/>
        <v/>
      </c>
      <c r="ER37" s="113" t="str">
        <f t="shared" si="100"/>
        <v/>
      </c>
      <c r="ES37" s="113" t="str">
        <f t="shared" si="101"/>
        <v/>
      </c>
      <c r="ET37" s="660" t="str">
        <f t="shared" si="102"/>
        <v/>
      </c>
      <c r="EU37" s="660" t="str">
        <f t="shared" si="103"/>
        <v/>
      </c>
      <c r="EV37" s="660" t="str">
        <f t="shared" si="104"/>
        <v/>
      </c>
      <c r="EW37" s="660" t="str">
        <f t="shared" si="105"/>
        <v/>
      </c>
      <c r="EX37" s="660" t="str">
        <f t="shared" si="106"/>
        <v/>
      </c>
      <c r="EY37" s="660" t="str">
        <f t="shared" si="107"/>
        <v/>
      </c>
      <c r="EZ37" s="660" t="str">
        <f t="shared" si="108"/>
        <v/>
      </c>
      <c r="FA37" s="660" t="str">
        <f t="shared" si="109"/>
        <v/>
      </c>
      <c r="FB37" s="660" t="str">
        <f t="shared" si="110"/>
        <v/>
      </c>
      <c r="FC37" s="660" t="str">
        <f t="shared" si="111"/>
        <v/>
      </c>
      <c r="FD37" s="660" t="str">
        <f t="shared" si="112"/>
        <v/>
      </c>
      <c r="FE37" s="660" t="str">
        <f t="shared" si="113"/>
        <v/>
      </c>
      <c r="FF37" s="660" t="str">
        <f t="shared" si="114"/>
        <v/>
      </c>
      <c r="FG37" s="660" t="str">
        <f t="shared" si="115"/>
        <v/>
      </c>
      <c r="FH37" s="660" t="str">
        <f t="shared" si="116"/>
        <v/>
      </c>
      <c r="FI37" s="660" t="str">
        <f t="shared" si="117"/>
        <v/>
      </c>
      <c r="FJ37" s="660" t="str">
        <f t="shared" si="118"/>
        <v/>
      </c>
      <c r="FK37" s="660" t="str">
        <f t="shared" si="119"/>
        <v/>
      </c>
      <c r="FL37" s="660" t="str">
        <f t="shared" si="120"/>
        <v/>
      </c>
      <c r="FM37" s="660" t="str">
        <f t="shared" si="121"/>
        <v/>
      </c>
      <c r="FN37" s="660" t="str">
        <f t="shared" si="122"/>
        <v/>
      </c>
      <c r="FO37" s="660" t="str">
        <f t="shared" si="123"/>
        <v/>
      </c>
      <c r="FP37" s="660" t="str">
        <f t="shared" si="124"/>
        <v/>
      </c>
      <c r="FQ37" s="660" t="str">
        <f t="shared" si="125"/>
        <v/>
      </c>
      <c r="FR37" s="660" t="str">
        <f t="shared" si="126"/>
        <v/>
      </c>
      <c r="FS37" s="660" t="str">
        <f t="shared" si="127"/>
        <v/>
      </c>
      <c r="FT37" s="660" t="str">
        <f t="shared" si="128"/>
        <v/>
      </c>
      <c r="FU37" s="660" t="str">
        <f t="shared" si="129"/>
        <v/>
      </c>
      <c r="FV37" s="660" t="str">
        <f t="shared" si="130"/>
        <v/>
      </c>
      <c r="FW37" s="660" t="str">
        <f t="shared" si="131"/>
        <v/>
      </c>
      <c r="FX37" s="660" t="str">
        <f t="shared" si="132"/>
        <v/>
      </c>
      <c r="FY37" s="660" t="str">
        <f t="shared" si="133"/>
        <v/>
      </c>
      <c r="FZ37" s="660" t="str">
        <f t="shared" si="134"/>
        <v/>
      </c>
      <c r="GA37" s="660" t="str">
        <f t="shared" si="135"/>
        <v/>
      </c>
      <c r="GB37" s="660" t="str">
        <f t="shared" si="136"/>
        <v/>
      </c>
      <c r="GC37" s="660" t="str">
        <f t="shared" si="137"/>
        <v/>
      </c>
      <c r="GD37" s="660" t="str">
        <f t="shared" si="138"/>
        <v/>
      </c>
      <c r="GE37" s="660" t="str">
        <f t="shared" si="139"/>
        <v/>
      </c>
      <c r="GF37" s="660" t="str">
        <f t="shared" si="140"/>
        <v/>
      </c>
      <c r="GG37" s="660" t="str">
        <f t="shared" si="141"/>
        <v/>
      </c>
      <c r="GH37" s="660" t="str">
        <f t="shared" si="142"/>
        <v/>
      </c>
      <c r="GI37" s="660" t="str">
        <f t="shared" si="143"/>
        <v/>
      </c>
      <c r="GJ37" s="660" t="str">
        <f t="shared" si="144"/>
        <v/>
      </c>
      <c r="GK37" s="660" t="str">
        <f t="shared" si="145"/>
        <v/>
      </c>
      <c r="GL37" s="660" t="str">
        <f t="shared" si="146"/>
        <v/>
      </c>
      <c r="GM37" s="661" t="str">
        <f t="shared" si="147"/>
        <v/>
      </c>
      <c r="GN37" s="661" t="str">
        <f t="shared" si="148"/>
        <v/>
      </c>
      <c r="GO37" s="661" t="str">
        <f t="shared" si="149"/>
        <v/>
      </c>
      <c r="GP37" s="661" t="str">
        <f t="shared" si="150"/>
        <v/>
      </c>
      <c r="GQ37" s="661" t="str">
        <f t="shared" si="151"/>
        <v/>
      </c>
      <c r="GR37" s="113" t="str">
        <f t="shared" si="152"/>
        <v/>
      </c>
      <c r="GS37" s="113" t="str">
        <f t="shared" si="153"/>
        <v/>
      </c>
      <c r="GT37" s="113" t="str">
        <f t="shared" si="154"/>
        <v/>
      </c>
      <c r="GU37" s="113" t="str">
        <f t="shared" si="155"/>
        <v/>
      </c>
      <c r="GV37" s="113" t="str">
        <f t="shared" si="156"/>
        <v/>
      </c>
      <c r="GW37" s="113" t="str">
        <f t="shared" si="157"/>
        <v/>
      </c>
      <c r="GX37" s="113" t="str">
        <f t="shared" si="158"/>
        <v/>
      </c>
      <c r="GY37" s="113" t="str">
        <f t="shared" si="159"/>
        <v/>
      </c>
      <c r="GZ37" s="113" t="str">
        <f t="shared" si="160"/>
        <v/>
      </c>
      <c r="HA37" s="113" t="str">
        <f t="shared" si="161"/>
        <v/>
      </c>
      <c r="HB37" s="113" t="str">
        <f t="shared" si="162"/>
        <v/>
      </c>
      <c r="HC37" s="113" t="str">
        <f t="shared" si="163"/>
        <v/>
      </c>
      <c r="HD37" s="113" t="str">
        <f t="shared" si="164"/>
        <v/>
      </c>
      <c r="HE37" s="113" t="str">
        <f t="shared" si="165"/>
        <v/>
      </c>
      <c r="HF37" s="113" t="str">
        <f t="shared" si="166"/>
        <v/>
      </c>
      <c r="HG37" s="113" t="str">
        <f t="shared" si="167"/>
        <v/>
      </c>
      <c r="HH37" s="113" t="str">
        <f t="shared" si="168"/>
        <v/>
      </c>
      <c r="HI37" s="113" t="str">
        <f t="shared" si="169"/>
        <v/>
      </c>
      <c r="HJ37" s="113" t="str">
        <f t="shared" si="170"/>
        <v/>
      </c>
      <c r="HK37" s="113" t="str">
        <f t="shared" si="171"/>
        <v/>
      </c>
    </row>
    <row r="38" spans="1:219" ht="13.2" customHeight="1">
      <c r="A38" s="146" t="str">
        <f t="shared" si="172"/>
        <v/>
      </c>
      <c r="B38" s="836"/>
      <c r="C38" s="837"/>
      <c r="D38" s="838"/>
      <c r="E38" s="839"/>
      <c r="F38" s="839"/>
      <c r="G38" s="839"/>
      <c r="H38" s="839"/>
      <c r="I38" s="839"/>
      <c r="J38" s="840"/>
      <c r="K38" s="227">
        <f>MAX(0,H38-I38)</f>
        <v>0</v>
      </c>
      <c r="L38" s="227">
        <f t="shared" si="0"/>
        <v>0</v>
      </c>
      <c r="M38" s="841"/>
      <c r="N38" s="841"/>
      <c r="O38" s="841"/>
      <c r="P38" s="581" t="str">
        <f t="shared" si="407"/>
        <v/>
      </c>
      <c r="Q38" s="582" t="str">
        <f>IF(H38="","",P38/($P$6*VLOOKUP(C38,'DCA Underwriting Assumptions'!$J$77:$K$82,2,FALSE)))</f>
        <v/>
      </c>
      <c r="R38" s="739"/>
      <c r="S38" s="659"/>
      <c r="T38" s="113" t="str">
        <f t="shared" si="2"/>
        <v/>
      </c>
      <c r="U38" s="113" t="str">
        <f t="shared" si="3"/>
        <v/>
      </c>
      <c r="V38" s="113" t="str">
        <f t="shared" si="4"/>
        <v/>
      </c>
      <c r="W38" s="113" t="str">
        <f t="shared" si="5"/>
        <v/>
      </c>
      <c r="X38" s="113" t="str">
        <f t="shared" si="6"/>
        <v/>
      </c>
      <c r="Y38" s="113" t="str">
        <f t="shared" si="7"/>
        <v/>
      </c>
      <c r="Z38" s="113" t="str">
        <f t="shared" si="8"/>
        <v/>
      </c>
      <c r="AA38" s="113" t="str">
        <f t="shared" si="9"/>
        <v/>
      </c>
      <c r="AB38" s="113" t="str">
        <f t="shared" si="10"/>
        <v/>
      </c>
      <c r="AC38" s="113" t="str">
        <f t="shared" si="11"/>
        <v/>
      </c>
      <c r="AD38" s="113" t="str">
        <f t="shared" si="12"/>
        <v/>
      </c>
      <c r="AE38" s="113" t="str">
        <f t="shared" si="13"/>
        <v/>
      </c>
      <c r="AF38" s="113" t="str">
        <f t="shared" si="14"/>
        <v/>
      </c>
      <c r="AG38" s="113" t="str">
        <f t="shared" si="15"/>
        <v/>
      </c>
      <c r="AH38" s="113" t="str">
        <f t="shared" si="16"/>
        <v/>
      </c>
      <c r="AI38" s="113" t="str">
        <f t="shared" si="17"/>
        <v/>
      </c>
      <c r="AJ38" s="113" t="str">
        <f t="shared" si="18"/>
        <v/>
      </c>
      <c r="AK38" s="113" t="str">
        <f t="shared" si="19"/>
        <v/>
      </c>
      <c r="AL38" s="113" t="str">
        <f t="shared" si="20"/>
        <v/>
      </c>
      <c r="AM38" s="113" t="str">
        <f t="shared" si="21"/>
        <v/>
      </c>
      <c r="AN38" s="113" t="str">
        <f t="shared" si="174"/>
        <v/>
      </c>
      <c r="AO38" s="113" t="str">
        <f t="shared" si="175"/>
        <v/>
      </c>
      <c r="AP38" s="113" t="str">
        <f t="shared" si="176"/>
        <v/>
      </c>
      <c r="AQ38" s="113" t="str">
        <f t="shared" si="177"/>
        <v/>
      </c>
      <c r="AR38" s="113" t="str">
        <f t="shared" si="178"/>
        <v/>
      </c>
      <c r="AS38" s="113" t="str">
        <f t="shared" si="179"/>
        <v/>
      </c>
      <c r="AT38" s="113" t="str">
        <f t="shared" si="180"/>
        <v/>
      </c>
      <c r="AU38" s="113" t="str">
        <f t="shared" si="181"/>
        <v/>
      </c>
      <c r="AV38" s="113" t="str">
        <f t="shared" si="182"/>
        <v/>
      </c>
      <c r="AW38" s="113" t="str">
        <f t="shared" si="183"/>
        <v/>
      </c>
      <c r="AX38" s="113" t="str">
        <f t="shared" si="184"/>
        <v/>
      </c>
      <c r="AY38" s="113" t="str">
        <f t="shared" si="185"/>
        <v/>
      </c>
      <c r="AZ38" s="113" t="str">
        <f t="shared" si="186"/>
        <v/>
      </c>
      <c r="BA38" s="113" t="str">
        <f t="shared" si="187"/>
        <v/>
      </c>
      <c r="BB38" s="113" t="str">
        <f t="shared" si="188"/>
        <v/>
      </c>
      <c r="BC38" s="113" t="str">
        <f t="shared" si="189"/>
        <v/>
      </c>
      <c r="BD38" s="113" t="str">
        <f t="shared" si="190"/>
        <v/>
      </c>
      <c r="BE38" s="113" t="str">
        <f t="shared" si="191"/>
        <v/>
      </c>
      <c r="BF38" s="113" t="str">
        <f t="shared" si="192"/>
        <v/>
      </c>
      <c r="BG38" s="113" t="str">
        <f t="shared" si="193"/>
        <v/>
      </c>
      <c r="BH38" s="113" t="str">
        <f t="shared" si="194"/>
        <v/>
      </c>
      <c r="BI38" s="113" t="str">
        <f t="shared" si="195"/>
        <v/>
      </c>
      <c r="BJ38" s="113" t="str">
        <f t="shared" si="196"/>
        <v/>
      </c>
      <c r="BK38" s="113" t="str">
        <f t="shared" si="197"/>
        <v/>
      </c>
      <c r="BL38" s="113" t="str">
        <f t="shared" si="198"/>
        <v/>
      </c>
      <c r="BM38" s="113" t="str">
        <f t="shared" si="199"/>
        <v/>
      </c>
      <c r="BN38" s="113" t="str">
        <f t="shared" si="200"/>
        <v/>
      </c>
      <c r="BO38" s="113" t="str">
        <f t="shared" si="201"/>
        <v/>
      </c>
      <c r="BP38" s="113" t="str">
        <f t="shared" si="202"/>
        <v/>
      </c>
      <c r="BQ38" s="113" t="str">
        <f t="shared" si="203"/>
        <v/>
      </c>
      <c r="BR38" s="113" t="str">
        <f t="shared" si="22"/>
        <v/>
      </c>
      <c r="BS38" s="113" t="str">
        <f t="shared" si="23"/>
        <v/>
      </c>
      <c r="BT38" s="113" t="str">
        <f t="shared" si="24"/>
        <v/>
      </c>
      <c r="BU38" s="113" t="str">
        <f t="shared" si="25"/>
        <v/>
      </c>
      <c r="BV38" s="113" t="str">
        <f t="shared" si="26"/>
        <v/>
      </c>
      <c r="BW38" s="113" t="str">
        <f t="shared" si="27"/>
        <v/>
      </c>
      <c r="BX38" s="113" t="str">
        <f t="shared" si="28"/>
        <v/>
      </c>
      <c r="BY38" s="113" t="str">
        <f t="shared" si="29"/>
        <v/>
      </c>
      <c r="BZ38" s="113" t="str">
        <f t="shared" si="30"/>
        <v/>
      </c>
      <c r="CA38" s="113" t="str">
        <f t="shared" si="31"/>
        <v/>
      </c>
      <c r="CB38" s="113" t="str">
        <f t="shared" si="32"/>
        <v/>
      </c>
      <c r="CC38" s="113" t="str">
        <f t="shared" si="33"/>
        <v/>
      </c>
      <c r="CD38" s="113" t="str">
        <f t="shared" si="34"/>
        <v/>
      </c>
      <c r="CE38" s="113" t="str">
        <f t="shared" si="35"/>
        <v/>
      </c>
      <c r="CF38" s="113" t="str">
        <f t="shared" si="36"/>
        <v/>
      </c>
      <c r="CG38" s="113" t="str">
        <f t="shared" si="37"/>
        <v/>
      </c>
      <c r="CH38" s="113" t="str">
        <f t="shared" si="38"/>
        <v/>
      </c>
      <c r="CI38" s="113" t="str">
        <f t="shared" si="39"/>
        <v/>
      </c>
      <c r="CJ38" s="113" t="str">
        <f t="shared" si="40"/>
        <v/>
      </c>
      <c r="CK38" s="113" t="str">
        <f t="shared" si="41"/>
        <v/>
      </c>
      <c r="CL38" s="113" t="str">
        <f t="shared" si="42"/>
        <v/>
      </c>
      <c r="CM38" s="113" t="str">
        <f t="shared" si="43"/>
        <v/>
      </c>
      <c r="CN38" s="113" t="str">
        <f t="shared" si="44"/>
        <v/>
      </c>
      <c r="CO38" s="113" t="str">
        <f t="shared" si="45"/>
        <v/>
      </c>
      <c r="CP38" s="113" t="str">
        <f t="shared" si="46"/>
        <v/>
      </c>
      <c r="CQ38" s="113" t="str">
        <f t="shared" si="47"/>
        <v/>
      </c>
      <c r="CR38" s="113" t="str">
        <f t="shared" si="48"/>
        <v/>
      </c>
      <c r="CS38" s="113" t="str">
        <f t="shared" si="49"/>
        <v/>
      </c>
      <c r="CT38" s="113" t="str">
        <f t="shared" si="50"/>
        <v/>
      </c>
      <c r="CU38" s="113" t="str">
        <f t="shared" si="51"/>
        <v/>
      </c>
      <c r="CV38" s="113" t="str">
        <f t="shared" si="52"/>
        <v/>
      </c>
      <c r="CW38" s="113" t="str">
        <f t="shared" si="53"/>
        <v/>
      </c>
      <c r="CX38" s="113" t="str">
        <f t="shared" si="54"/>
        <v/>
      </c>
      <c r="CY38" s="113" t="str">
        <f t="shared" si="55"/>
        <v/>
      </c>
      <c r="CZ38" s="113" t="str">
        <f t="shared" si="56"/>
        <v/>
      </c>
      <c r="DA38" s="113" t="str">
        <f t="shared" si="57"/>
        <v/>
      </c>
      <c r="DB38" s="113" t="str">
        <f t="shared" si="58"/>
        <v/>
      </c>
      <c r="DC38" s="113" t="str">
        <f t="shared" si="59"/>
        <v/>
      </c>
      <c r="DD38" s="113" t="str">
        <f t="shared" si="60"/>
        <v/>
      </c>
      <c r="DE38" s="113" t="str">
        <f t="shared" si="61"/>
        <v/>
      </c>
      <c r="DF38" s="113" t="str">
        <f t="shared" si="62"/>
        <v/>
      </c>
      <c r="DG38" s="113" t="str">
        <f t="shared" si="63"/>
        <v/>
      </c>
      <c r="DH38" s="113" t="str">
        <f t="shared" si="64"/>
        <v/>
      </c>
      <c r="DI38" s="113" t="str">
        <f t="shared" si="65"/>
        <v/>
      </c>
      <c r="DJ38" s="113" t="str">
        <f t="shared" si="66"/>
        <v/>
      </c>
      <c r="DK38" s="113" t="str">
        <f t="shared" si="67"/>
        <v/>
      </c>
      <c r="DL38" s="113" t="str">
        <f t="shared" si="68"/>
        <v/>
      </c>
      <c r="DM38" s="113" t="str">
        <f t="shared" si="69"/>
        <v/>
      </c>
      <c r="DN38" s="113" t="str">
        <f t="shared" si="70"/>
        <v/>
      </c>
      <c r="DO38" s="113" t="str">
        <f t="shared" si="71"/>
        <v/>
      </c>
      <c r="DP38" s="113" t="str">
        <f t="shared" si="72"/>
        <v/>
      </c>
      <c r="DQ38" s="113" t="str">
        <f t="shared" si="73"/>
        <v/>
      </c>
      <c r="DR38" s="113" t="str">
        <f t="shared" si="74"/>
        <v/>
      </c>
      <c r="DS38" s="113" t="str">
        <f t="shared" si="75"/>
        <v/>
      </c>
      <c r="DT38" s="113" t="str">
        <f t="shared" si="76"/>
        <v/>
      </c>
      <c r="DU38" s="113" t="str">
        <f t="shared" si="77"/>
        <v/>
      </c>
      <c r="DV38" s="113" t="str">
        <f t="shared" si="78"/>
        <v/>
      </c>
      <c r="DW38" s="113" t="str">
        <f t="shared" si="79"/>
        <v/>
      </c>
      <c r="DX38" s="113" t="str">
        <f t="shared" si="80"/>
        <v/>
      </c>
      <c r="DY38" s="113" t="str">
        <f t="shared" si="81"/>
        <v/>
      </c>
      <c r="DZ38" s="113" t="str">
        <f t="shared" si="82"/>
        <v/>
      </c>
      <c r="EA38" s="113" t="str">
        <f t="shared" si="83"/>
        <v/>
      </c>
      <c r="EB38" s="113" t="str">
        <f t="shared" si="84"/>
        <v/>
      </c>
      <c r="EC38" s="113" t="str">
        <f t="shared" si="85"/>
        <v/>
      </c>
      <c r="ED38" s="113" t="str">
        <f t="shared" si="86"/>
        <v/>
      </c>
      <c r="EE38" s="113" t="str">
        <f t="shared" si="87"/>
        <v/>
      </c>
      <c r="EF38" s="113" t="str">
        <f t="shared" si="88"/>
        <v/>
      </c>
      <c r="EG38" s="113" t="str">
        <f t="shared" si="89"/>
        <v/>
      </c>
      <c r="EH38" s="113" t="str">
        <f t="shared" si="90"/>
        <v/>
      </c>
      <c r="EI38" s="113" t="str">
        <f t="shared" si="91"/>
        <v/>
      </c>
      <c r="EJ38" s="113" t="str">
        <f t="shared" si="92"/>
        <v/>
      </c>
      <c r="EK38" s="113" t="str">
        <f t="shared" si="93"/>
        <v/>
      </c>
      <c r="EL38" s="113" t="str">
        <f t="shared" si="94"/>
        <v/>
      </c>
      <c r="EM38" s="113" t="str">
        <f t="shared" si="95"/>
        <v/>
      </c>
      <c r="EN38" s="113" t="str">
        <f t="shared" si="96"/>
        <v/>
      </c>
      <c r="EO38" s="113" t="str">
        <f t="shared" si="97"/>
        <v/>
      </c>
      <c r="EP38" s="113" t="str">
        <f t="shared" si="98"/>
        <v/>
      </c>
      <c r="EQ38" s="113" t="str">
        <f t="shared" si="99"/>
        <v/>
      </c>
      <c r="ER38" s="113" t="str">
        <f t="shared" si="100"/>
        <v/>
      </c>
      <c r="ES38" s="113" t="str">
        <f t="shared" si="101"/>
        <v/>
      </c>
      <c r="ET38" s="660" t="str">
        <f t="shared" si="102"/>
        <v/>
      </c>
      <c r="EU38" s="660" t="str">
        <f t="shared" si="103"/>
        <v/>
      </c>
      <c r="EV38" s="660" t="str">
        <f t="shared" si="104"/>
        <v/>
      </c>
      <c r="EW38" s="660" t="str">
        <f t="shared" si="105"/>
        <v/>
      </c>
      <c r="EX38" s="660" t="str">
        <f t="shared" si="106"/>
        <v/>
      </c>
      <c r="EY38" s="660" t="str">
        <f t="shared" si="107"/>
        <v/>
      </c>
      <c r="EZ38" s="660" t="str">
        <f t="shared" si="108"/>
        <v/>
      </c>
      <c r="FA38" s="660" t="str">
        <f t="shared" si="109"/>
        <v/>
      </c>
      <c r="FB38" s="660" t="str">
        <f t="shared" si="110"/>
        <v/>
      </c>
      <c r="FC38" s="660" t="str">
        <f t="shared" si="111"/>
        <v/>
      </c>
      <c r="FD38" s="660" t="str">
        <f t="shared" si="112"/>
        <v/>
      </c>
      <c r="FE38" s="660" t="str">
        <f t="shared" si="113"/>
        <v/>
      </c>
      <c r="FF38" s="660" t="str">
        <f t="shared" si="114"/>
        <v/>
      </c>
      <c r="FG38" s="660" t="str">
        <f t="shared" si="115"/>
        <v/>
      </c>
      <c r="FH38" s="660" t="str">
        <f t="shared" si="116"/>
        <v/>
      </c>
      <c r="FI38" s="660" t="str">
        <f t="shared" si="117"/>
        <v/>
      </c>
      <c r="FJ38" s="660" t="str">
        <f t="shared" si="118"/>
        <v/>
      </c>
      <c r="FK38" s="660" t="str">
        <f t="shared" si="119"/>
        <v/>
      </c>
      <c r="FL38" s="660" t="str">
        <f t="shared" si="120"/>
        <v/>
      </c>
      <c r="FM38" s="660" t="str">
        <f t="shared" si="121"/>
        <v/>
      </c>
      <c r="FN38" s="660" t="str">
        <f t="shared" si="122"/>
        <v/>
      </c>
      <c r="FO38" s="660" t="str">
        <f t="shared" si="123"/>
        <v/>
      </c>
      <c r="FP38" s="660" t="str">
        <f t="shared" si="124"/>
        <v/>
      </c>
      <c r="FQ38" s="660" t="str">
        <f t="shared" si="125"/>
        <v/>
      </c>
      <c r="FR38" s="660" t="str">
        <f t="shared" si="126"/>
        <v/>
      </c>
      <c r="FS38" s="660" t="str">
        <f t="shared" si="127"/>
        <v/>
      </c>
      <c r="FT38" s="660" t="str">
        <f t="shared" si="128"/>
        <v/>
      </c>
      <c r="FU38" s="660" t="str">
        <f t="shared" si="129"/>
        <v/>
      </c>
      <c r="FV38" s="660" t="str">
        <f t="shared" si="130"/>
        <v/>
      </c>
      <c r="FW38" s="660" t="str">
        <f t="shared" si="131"/>
        <v/>
      </c>
      <c r="FX38" s="660" t="str">
        <f t="shared" si="132"/>
        <v/>
      </c>
      <c r="FY38" s="660" t="str">
        <f t="shared" si="133"/>
        <v/>
      </c>
      <c r="FZ38" s="660" t="str">
        <f t="shared" si="134"/>
        <v/>
      </c>
      <c r="GA38" s="660" t="str">
        <f t="shared" si="135"/>
        <v/>
      </c>
      <c r="GB38" s="660" t="str">
        <f t="shared" si="136"/>
        <v/>
      </c>
      <c r="GC38" s="660" t="str">
        <f t="shared" si="137"/>
        <v/>
      </c>
      <c r="GD38" s="660" t="str">
        <f t="shared" si="138"/>
        <v/>
      </c>
      <c r="GE38" s="660" t="str">
        <f t="shared" si="139"/>
        <v/>
      </c>
      <c r="GF38" s="660" t="str">
        <f t="shared" si="140"/>
        <v/>
      </c>
      <c r="GG38" s="660" t="str">
        <f t="shared" si="141"/>
        <v/>
      </c>
      <c r="GH38" s="660" t="str">
        <f t="shared" si="142"/>
        <v/>
      </c>
      <c r="GI38" s="660" t="str">
        <f t="shared" si="143"/>
        <v/>
      </c>
      <c r="GJ38" s="660" t="str">
        <f t="shared" si="144"/>
        <v/>
      </c>
      <c r="GK38" s="660" t="str">
        <f t="shared" si="145"/>
        <v/>
      </c>
      <c r="GL38" s="660" t="str">
        <f t="shared" si="146"/>
        <v/>
      </c>
      <c r="GM38" s="661" t="str">
        <f t="shared" si="147"/>
        <v/>
      </c>
      <c r="GN38" s="661" t="str">
        <f t="shared" si="148"/>
        <v/>
      </c>
      <c r="GO38" s="661" t="str">
        <f t="shared" si="149"/>
        <v/>
      </c>
      <c r="GP38" s="661" t="str">
        <f t="shared" si="150"/>
        <v/>
      </c>
      <c r="GQ38" s="661" t="str">
        <f t="shared" si="151"/>
        <v/>
      </c>
      <c r="GR38" s="113" t="str">
        <f t="shared" si="152"/>
        <v/>
      </c>
      <c r="GS38" s="113" t="str">
        <f t="shared" si="153"/>
        <v/>
      </c>
      <c r="GT38" s="113" t="str">
        <f t="shared" si="154"/>
        <v/>
      </c>
      <c r="GU38" s="113" t="str">
        <f t="shared" si="155"/>
        <v/>
      </c>
      <c r="GV38" s="113" t="str">
        <f t="shared" si="156"/>
        <v/>
      </c>
      <c r="GW38" s="113" t="str">
        <f t="shared" si="157"/>
        <v/>
      </c>
      <c r="GX38" s="113" t="str">
        <f t="shared" si="158"/>
        <v/>
      </c>
      <c r="GY38" s="113" t="str">
        <f t="shared" si="159"/>
        <v/>
      </c>
      <c r="GZ38" s="113" t="str">
        <f t="shared" si="160"/>
        <v/>
      </c>
      <c r="HA38" s="113" t="str">
        <f t="shared" si="161"/>
        <v/>
      </c>
      <c r="HB38" s="113" t="str">
        <f t="shared" si="162"/>
        <v/>
      </c>
      <c r="HC38" s="113" t="str">
        <f t="shared" si="163"/>
        <v/>
      </c>
      <c r="HD38" s="113" t="str">
        <f t="shared" si="164"/>
        <v/>
      </c>
      <c r="HE38" s="113" t="str">
        <f t="shared" si="165"/>
        <v/>
      </c>
      <c r="HF38" s="113" t="str">
        <f t="shared" si="166"/>
        <v/>
      </c>
      <c r="HG38" s="113" t="str">
        <f t="shared" si="167"/>
        <v/>
      </c>
      <c r="HH38" s="113" t="str">
        <f t="shared" si="168"/>
        <v/>
      </c>
      <c r="HI38" s="113" t="str">
        <f t="shared" si="169"/>
        <v/>
      </c>
      <c r="HJ38" s="113" t="str">
        <f t="shared" si="170"/>
        <v/>
      </c>
      <c r="HK38" s="113" t="str">
        <f t="shared" si="171"/>
        <v/>
      </c>
    </row>
    <row r="39" spans="1:219" ht="13.2" customHeight="1">
      <c r="A39" s="146" t="str">
        <f t="shared" si="172"/>
        <v/>
      </c>
      <c r="B39" s="836"/>
      <c r="C39" s="837"/>
      <c r="D39" s="838"/>
      <c r="E39" s="839"/>
      <c r="F39" s="839"/>
      <c r="G39" s="839"/>
      <c r="H39" s="839"/>
      <c r="I39" s="839"/>
      <c r="J39" s="840"/>
      <c r="K39" s="227">
        <f t="shared" ref="K39:K46" si="409">MAX(0,H39-I39)</f>
        <v>0</v>
      </c>
      <c r="L39" s="227">
        <f t="shared" si="0"/>
        <v>0</v>
      </c>
      <c r="M39" s="841"/>
      <c r="N39" s="841"/>
      <c r="O39" s="841"/>
      <c r="P39" s="581" t="str">
        <f t="shared" si="407"/>
        <v/>
      </c>
      <c r="Q39" s="582" t="str">
        <f>IF(H39="","",P39/($P$6*VLOOKUP(C39,'DCA Underwriting Assumptions'!$J$77:$K$82,2,FALSE)))</f>
        <v/>
      </c>
      <c r="R39" s="739"/>
      <c r="S39" s="659"/>
      <c r="T39" s="113" t="str">
        <f t="shared" si="2"/>
        <v/>
      </c>
      <c r="U39" s="113" t="str">
        <f t="shared" si="3"/>
        <v/>
      </c>
      <c r="V39" s="113" t="str">
        <f t="shared" si="4"/>
        <v/>
      </c>
      <c r="W39" s="113" t="str">
        <f t="shared" si="5"/>
        <v/>
      </c>
      <c r="X39" s="113" t="str">
        <f t="shared" si="6"/>
        <v/>
      </c>
      <c r="Y39" s="113" t="str">
        <f t="shared" si="7"/>
        <v/>
      </c>
      <c r="Z39" s="113" t="str">
        <f t="shared" si="8"/>
        <v/>
      </c>
      <c r="AA39" s="113" t="str">
        <f t="shared" si="9"/>
        <v/>
      </c>
      <c r="AB39" s="113" t="str">
        <f t="shared" si="10"/>
        <v/>
      </c>
      <c r="AC39" s="113" t="str">
        <f t="shared" si="11"/>
        <v/>
      </c>
      <c r="AD39" s="113" t="str">
        <f t="shared" si="12"/>
        <v/>
      </c>
      <c r="AE39" s="113" t="str">
        <f t="shared" si="13"/>
        <v/>
      </c>
      <c r="AF39" s="113" t="str">
        <f t="shared" si="14"/>
        <v/>
      </c>
      <c r="AG39" s="113" t="str">
        <f t="shared" si="15"/>
        <v/>
      </c>
      <c r="AH39" s="113" t="str">
        <f t="shared" si="16"/>
        <v/>
      </c>
      <c r="AI39" s="113" t="str">
        <f t="shared" si="17"/>
        <v/>
      </c>
      <c r="AJ39" s="113" t="str">
        <f t="shared" si="18"/>
        <v/>
      </c>
      <c r="AK39" s="113" t="str">
        <f t="shared" si="19"/>
        <v/>
      </c>
      <c r="AL39" s="113" t="str">
        <f t="shared" si="20"/>
        <v/>
      </c>
      <c r="AM39" s="113" t="str">
        <f t="shared" si="21"/>
        <v/>
      </c>
      <c r="AN39" s="113" t="str">
        <f t="shared" si="174"/>
        <v/>
      </c>
      <c r="AO39" s="113" t="str">
        <f t="shared" si="175"/>
        <v/>
      </c>
      <c r="AP39" s="113" t="str">
        <f t="shared" si="176"/>
        <v/>
      </c>
      <c r="AQ39" s="113" t="str">
        <f t="shared" si="177"/>
        <v/>
      </c>
      <c r="AR39" s="113" t="str">
        <f t="shared" si="178"/>
        <v/>
      </c>
      <c r="AS39" s="113" t="str">
        <f t="shared" si="179"/>
        <v/>
      </c>
      <c r="AT39" s="113" t="str">
        <f t="shared" si="180"/>
        <v/>
      </c>
      <c r="AU39" s="113" t="str">
        <f t="shared" si="181"/>
        <v/>
      </c>
      <c r="AV39" s="113" t="str">
        <f t="shared" si="182"/>
        <v/>
      </c>
      <c r="AW39" s="113" t="str">
        <f t="shared" si="183"/>
        <v/>
      </c>
      <c r="AX39" s="113" t="str">
        <f t="shared" si="184"/>
        <v/>
      </c>
      <c r="AY39" s="113" t="str">
        <f t="shared" si="185"/>
        <v/>
      </c>
      <c r="AZ39" s="113" t="str">
        <f t="shared" si="186"/>
        <v/>
      </c>
      <c r="BA39" s="113" t="str">
        <f t="shared" si="187"/>
        <v/>
      </c>
      <c r="BB39" s="113" t="str">
        <f t="shared" si="188"/>
        <v/>
      </c>
      <c r="BC39" s="113" t="str">
        <f t="shared" si="189"/>
        <v/>
      </c>
      <c r="BD39" s="113" t="str">
        <f t="shared" si="190"/>
        <v/>
      </c>
      <c r="BE39" s="113" t="str">
        <f t="shared" si="191"/>
        <v/>
      </c>
      <c r="BF39" s="113" t="str">
        <f t="shared" si="192"/>
        <v/>
      </c>
      <c r="BG39" s="113" t="str">
        <f t="shared" si="193"/>
        <v/>
      </c>
      <c r="BH39" s="113" t="str">
        <f t="shared" si="194"/>
        <v/>
      </c>
      <c r="BI39" s="113" t="str">
        <f t="shared" si="195"/>
        <v/>
      </c>
      <c r="BJ39" s="113" t="str">
        <f t="shared" si="196"/>
        <v/>
      </c>
      <c r="BK39" s="113" t="str">
        <f t="shared" si="197"/>
        <v/>
      </c>
      <c r="BL39" s="113" t="str">
        <f t="shared" si="198"/>
        <v/>
      </c>
      <c r="BM39" s="113" t="str">
        <f t="shared" si="199"/>
        <v/>
      </c>
      <c r="BN39" s="113" t="str">
        <f t="shared" si="200"/>
        <v/>
      </c>
      <c r="BO39" s="113" t="str">
        <f t="shared" si="201"/>
        <v/>
      </c>
      <c r="BP39" s="113" t="str">
        <f t="shared" si="202"/>
        <v/>
      </c>
      <c r="BQ39" s="113" t="str">
        <f t="shared" si="203"/>
        <v/>
      </c>
      <c r="BR39" s="113" t="str">
        <f t="shared" si="22"/>
        <v/>
      </c>
      <c r="BS39" s="113" t="str">
        <f t="shared" si="23"/>
        <v/>
      </c>
      <c r="BT39" s="113" t="str">
        <f t="shared" si="24"/>
        <v/>
      </c>
      <c r="BU39" s="113" t="str">
        <f t="shared" si="25"/>
        <v/>
      </c>
      <c r="BV39" s="113" t="str">
        <f t="shared" si="26"/>
        <v/>
      </c>
      <c r="BW39" s="113" t="str">
        <f t="shared" si="27"/>
        <v/>
      </c>
      <c r="BX39" s="113" t="str">
        <f t="shared" si="28"/>
        <v/>
      </c>
      <c r="BY39" s="113" t="str">
        <f t="shared" si="29"/>
        <v/>
      </c>
      <c r="BZ39" s="113" t="str">
        <f t="shared" si="30"/>
        <v/>
      </c>
      <c r="CA39" s="113" t="str">
        <f t="shared" si="31"/>
        <v/>
      </c>
      <c r="CB39" s="113" t="str">
        <f t="shared" si="32"/>
        <v/>
      </c>
      <c r="CC39" s="113" t="str">
        <f t="shared" si="33"/>
        <v/>
      </c>
      <c r="CD39" s="113" t="str">
        <f t="shared" si="34"/>
        <v/>
      </c>
      <c r="CE39" s="113" t="str">
        <f t="shared" si="35"/>
        <v/>
      </c>
      <c r="CF39" s="113" t="str">
        <f t="shared" si="36"/>
        <v/>
      </c>
      <c r="CG39" s="113" t="str">
        <f t="shared" si="37"/>
        <v/>
      </c>
      <c r="CH39" s="113" t="str">
        <f t="shared" si="38"/>
        <v/>
      </c>
      <c r="CI39" s="113" t="str">
        <f t="shared" si="39"/>
        <v/>
      </c>
      <c r="CJ39" s="113" t="str">
        <f t="shared" si="40"/>
        <v/>
      </c>
      <c r="CK39" s="113" t="str">
        <f t="shared" si="41"/>
        <v/>
      </c>
      <c r="CL39" s="113" t="str">
        <f t="shared" si="42"/>
        <v/>
      </c>
      <c r="CM39" s="113" t="str">
        <f t="shared" si="43"/>
        <v/>
      </c>
      <c r="CN39" s="113" t="str">
        <f t="shared" si="44"/>
        <v/>
      </c>
      <c r="CO39" s="113" t="str">
        <f t="shared" si="45"/>
        <v/>
      </c>
      <c r="CP39" s="113" t="str">
        <f t="shared" si="46"/>
        <v/>
      </c>
      <c r="CQ39" s="113" t="str">
        <f t="shared" si="47"/>
        <v/>
      </c>
      <c r="CR39" s="113" t="str">
        <f t="shared" si="48"/>
        <v/>
      </c>
      <c r="CS39" s="113" t="str">
        <f t="shared" si="49"/>
        <v/>
      </c>
      <c r="CT39" s="113" t="str">
        <f t="shared" si="50"/>
        <v/>
      </c>
      <c r="CU39" s="113" t="str">
        <f t="shared" si="51"/>
        <v/>
      </c>
      <c r="CV39" s="113" t="str">
        <f t="shared" si="52"/>
        <v/>
      </c>
      <c r="CW39" s="113" t="str">
        <f t="shared" si="53"/>
        <v/>
      </c>
      <c r="CX39" s="113" t="str">
        <f t="shared" si="54"/>
        <v/>
      </c>
      <c r="CY39" s="113" t="str">
        <f t="shared" si="55"/>
        <v/>
      </c>
      <c r="CZ39" s="113" t="str">
        <f t="shared" si="56"/>
        <v/>
      </c>
      <c r="DA39" s="113" t="str">
        <f t="shared" si="57"/>
        <v/>
      </c>
      <c r="DB39" s="113" t="str">
        <f t="shared" si="58"/>
        <v/>
      </c>
      <c r="DC39" s="113" t="str">
        <f t="shared" si="59"/>
        <v/>
      </c>
      <c r="DD39" s="113" t="str">
        <f t="shared" si="60"/>
        <v/>
      </c>
      <c r="DE39" s="113" t="str">
        <f t="shared" si="61"/>
        <v/>
      </c>
      <c r="DF39" s="113" t="str">
        <f t="shared" si="62"/>
        <v/>
      </c>
      <c r="DG39" s="113" t="str">
        <f t="shared" si="63"/>
        <v/>
      </c>
      <c r="DH39" s="113" t="str">
        <f t="shared" si="64"/>
        <v/>
      </c>
      <c r="DI39" s="113" t="str">
        <f t="shared" si="65"/>
        <v/>
      </c>
      <c r="DJ39" s="113" t="str">
        <f t="shared" si="66"/>
        <v/>
      </c>
      <c r="DK39" s="113" t="str">
        <f t="shared" si="67"/>
        <v/>
      </c>
      <c r="DL39" s="113" t="str">
        <f t="shared" si="68"/>
        <v/>
      </c>
      <c r="DM39" s="113" t="str">
        <f t="shared" si="69"/>
        <v/>
      </c>
      <c r="DN39" s="113" t="str">
        <f t="shared" si="70"/>
        <v/>
      </c>
      <c r="DO39" s="113" t="str">
        <f t="shared" si="71"/>
        <v/>
      </c>
      <c r="DP39" s="113" t="str">
        <f t="shared" si="72"/>
        <v/>
      </c>
      <c r="DQ39" s="113" t="str">
        <f t="shared" si="73"/>
        <v/>
      </c>
      <c r="DR39" s="113" t="str">
        <f t="shared" si="74"/>
        <v/>
      </c>
      <c r="DS39" s="113" t="str">
        <f t="shared" si="75"/>
        <v/>
      </c>
      <c r="DT39" s="113" t="str">
        <f t="shared" si="76"/>
        <v/>
      </c>
      <c r="DU39" s="113" t="str">
        <f t="shared" si="77"/>
        <v/>
      </c>
      <c r="DV39" s="113" t="str">
        <f t="shared" si="78"/>
        <v/>
      </c>
      <c r="DW39" s="113" t="str">
        <f t="shared" si="79"/>
        <v/>
      </c>
      <c r="DX39" s="113" t="str">
        <f t="shared" si="80"/>
        <v/>
      </c>
      <c r="DY39" s="113" t="str">
        <f t="shared" si="81"/>
        <v/>
      </c>
      <c r="DZ39" s="113" t="str">
        <f t="shared" si="82"/>
        <v/>
      </c>
      <c r="EA39" s="113" t="str">
        <f t="shared" si="83"/>
        <v/>
      </c>
      <c r="EB39" s="113" t="str">
        <f t="shared" si="84"/>
        <v/>
      </c>
      <c r="EC39" s="113" t="str">
        <f t="shared" si="85"/>
        <v/>
      </c>
      <c r="ED39" s="113" t="str">
        <f t="shared" si="86"/>
        <v/>
      </c>
      <c r="EE39" s="113" t="str">
        <f t="shared" si="87"/>
        <v/>
      </c>
      <c r="EF39" s="113" t="str">
        <f t="shared" si="88"/>
        <v/>
      </c>
      <c r="EG39" s="113" t="str">
        <f t="shared" si="89"/>
        <v/>
      </c>
      <c r="EH39" s="113" t="str">
        <f t="shared" si="90"/>
        <v/>
      </c>
      <c r="EI39" s="113" t="str">
        <f t="shared" si="91"/>
        <v/>
      </c>
      <c r="EJ39" s="113" t="str">
        <f t="shared" si="92"/>
        <v/>
      </c>
      <c r="EK39" s="113" t="str">
        <f t="shared" si="93"/>
        <v/>
      </c>
      <c r="EL39" s="113" t="str">
        <f t="shared" si="94"/>
        <v/>
      </c>
      <c r="EM39" s="113" t="str">
        <f t="shared" si="95"/>
        <v/>
      </c>
      <c r="EN39" s="113" t="str">
        <f t="shared" si="96"/>
        <v/>
      </c>
      <c r="EO39" s="113" t="str">
        <f t="shared" si="97"/>
        <v/>
      </c>
      <c r="EP39" s="113" t="str">
        <f t="shared" si="98"/>
        <v/>
      </c>
      <c r="EQ39" s="113" t="str">
        <f t="shared" si="99"/>
        <v/>
      </c>
      <c r="ER39" s="113" t="str">
        <f t="shared" si="100"/>
        <v/>
      </c>
      <c r="ES39" s="113" t="str">
        <f t="shared" si="101"/>
        <v/>
      </c>
      <c r="ET39" s="660" t="str">
        <f t="shared" si="102"/>
        <v/>
      </c>
      <c r="EU39" s="660" t="str">
        <f t="shared" si="103"/>
        <v/>
      </c>
      <c r="EV39" s="660" t="str">
        <f t="shared" si="104"/>
        <v/>
      </c>
      <c r="EW39" s="660" t="str">
        <f t="shared" si="105"/>
        <v/>
      </c>
      <c r="EX39" s="660" t="str">
        <f t="shared" si="106"/>
        <v/>
      </c>
      <c r="EY39" s="660" t="str">
        <f t="shared" si="107"/>
        <v/>
      </c>
      <c r="EZ39" s="660" t="str">
        <f t="shared" si="108"/>
        <v/>
      </c>
      <c r="FA39" s="660" t="str">
        <f t="shared" si="109"/>
        <v/>
      </c>
      <c r="FB39" s="660" t="str">
        <f t="shared" si="110"/>
        <v/>
      </c>
      <c r="FC39" s="660" t="str">
        <f t="shared" si="111"/>
        <v/>
      </c>
      <c r="FD39" s="660" t="str">
        <f t="shared" si="112"/>
        <v/>
      </c>
      <c r="FE39" s="660" t="str">
        <f t="shared" si="113"/>
        <v/>
      </c>
      <c r="FF39" s="660" t="str">
        <f t="shared" si="114"/>
        <v/>
      </c>
      <c r="FG39" s="660" t="str">
        <f t="shared" si="115"/>
        <v/>
      </c>
      <c r="FH39" s="660" t="str">
        <f t="shared" si="116"/>
        <v/>
      </c>
      <c r="FI39" s="660" t="str">
        <f t="shared" si="117"/>
        <v/>
      </c>
      <c r="FJ39" s="660" t="str">
        <f t="shared" si="118"/>
        <v/>
      </c>
      <c r="FK39" s="660" t="str">
        <f t="shared" si="119"/>
        <v/>
      </c>
      <c r="FL39" s="660" t="str">
        <f t="shared" si="120"/>
        <v/>
      </c>
      <c r="FM39" s="660" t="str">
        <f t="shared" si="121"/>
        <v/>
      </c>
      <c r="FN39" s="660" t="str">
        <f t="shared" si="122"/>
        <v/>
      </c>
      <c r="FO39" s="660" t="str">
        <f t="shared" si="123"/>
        <v/>
      </c>
      <c r="FP39" s="660" t="str">
        <f t="shared" si="124"/>
        <v/>
      </c>
      <c r="FQ39" s="660" t="str">
        <f t="shared" si="125"/>
        <v/>
      </c>
      <c r="FR39" s="660" t="str">
        <f t="shared" si="126"/>
        <v/>
      </c>
      <c r="FS39" s="660" t="str">
        <f t="shared" si="127"/>
        <v/>
      </c>
      <c r="FT39" s="660" t="str">
        <f t="shared" si="128"/>
        <v/>
      </c>
      <c r="FU39" s="660" t="str">
        <f t="shared" si="129"/>
        <v/>
      </c>
      <c r="FV39" s="660" t="str">
        <f t="shared" si="130"/>
        <v/>
      </c>
      <c r="FW39" s="660" t="str">
        <f t="shared" si="131"/>
        <v/>
      </c>
      <c r="FX39" s="660" t="str">
        <f t="shared" si="132"/>
        <v/>
      </c>
      <c r="FY39" s="660" t="str">
        <f t="shared" si="133"/>
        <v/>
      </c>
      <c r="FZ39" s="660" t="str">
        <f t="shared" si="134"/>
        <v/>
      </c>
      <c r="GA39" s="660" t="str">
        <f t="shared" si="135"/>
        <v/>
      </c>
      <c r="GB39" s="660" t="str">
        <f t="shared" si="136"/>
        <v/>
      </c>
      <c r="GC39" s="660" t="str">
        <f t="shared" si="137"/>
        <v/>
      </c>
      <c r="GD39" s="660" t="str">
        <f t="shared" si="138"/>
        <v/>
      </c>
      <c r="GE39" s="660" t="str">
        <f t="shared" si="139"/>
        <v/>
      </c>
      <c r="GF39" s="660" t="str">
        <f t="shared" si="140"/>
        <v/>
      </c>
      <c r="GG39" s="660" t="str">
        <f t="shared" si="141"/>
        <v/>
      </c>
      <c r="GH39" s="660" t="str">
        <f t="shared" si="142"/>
        <v/>
      </c>
      <c r="GI39" s="660" t="str">
        <f t="shared" si="143"/>
        <v/>
      </c>
      <c r="GJ39" s="660" t="str">
        <f t="shared" si="144"/>
        <v/>
      </c>
      <c r="GK39" s="660" t="str">
        <f t="shared" si="145"/>
        <v/>
      </c>
      <c r="GL39" s="660" t="str">
        <f t="shared" si="146"/>
        <v/>
      </c>
      <c r="GM39" s="661" t="str">
        <f t="shared" si="147"/>
        <v/>
      </c>
      <c r="GN39" s="661" t="str">
        <f t="shared" si="148"/>
        <v/>
      </c>
      <c r="GO39" s="661" t="str">
        <f t="shared" si="149"/>
        <v/>
      </c>
      <c r="GP39" s="661" t="str">
        <f t="shared" si="150"/>
        <v/>
      </c>
      <c r="GQ39" s="661" t="str">
        <f t="shared" si="151"/>
        <v/>
      </c>
      <c r="GR39" s="113" t="str">
        <f t="shared" si="152"/>
        <v/>
      </c>
      <c r="GS39" s="113" t="str">
        <f t="shared" si="153"/>
        <v/>
      </c>
      <c r="GT39" s="113" t="str">
        <f t="shared" si="154"/>
        <v/>
      </c>
      <c r="GU39" s="113" t="str">
        <f t="shared" si="155"/>
        <v/>
      </c>
      <c r="GV39" s="113" t="str">
        <f t="shared" si="156"/>
        <v/>
      </c>
      <c r="GW39" s="113" t="str">
        <f t="shared" si="157"/>
        <v/>
      </c>
      <c r="GX39" s="113" t="str">
        <f t="shared" si="158"/>
        <v/>
      </c>
      <c r="GY39" s="113" t="str">
        <f t="shared" si="159"/>
        <v/>
      </c>
      <c r="GZ39" s="113" t="str">
        <f t="shared" si="160"/>
        <v/>
      </c>
      <c r="HA39" s="113" t="str">
        <f t="shared" si="161"/>
        <v/>
      </c>
      <c r="HB39" s="113" t="str">
        <f t="shared" si="162"/>
        <v/>
      </c>
      <c r="HC39" s="113" t="str">
        <f t="shared" si="163"/>
        <v/>
      </c>
      <c r="HD39" s="113" t="str">
        <f t="shared" si="164"/>
        <v/>
      </c>
      <c r="HE39" s="113" t="str">
        <f t="shared" si="165"/>
        <v/>
      </c>
      <c r="HF39" s="113" t="str">
        <f t="shared" si="166"/>
        <v/>
      </c>
      <c r="HG39" s="113" t="str">
        <f t="shared" si="167"/>
        <v/>
      </c>
      <c r="HH39" s="113" t="str">
        <f t="shared" si="168"/>
        <v/>
      </c>
      <c r="HI39" s="113" t="str">
        <f t="shared" si="169"/>
        <v/>
      </c>
      <c r="HJ39" s="113" t="str">
        <f t="shared" si="170"/>
        <v/>
      </c>
      <c r="HK39" s="113" t="str">
        <f t="shared" si="171"/>
        <v/>
      </c>
    </row>
    <row r="40" spans="1:219" ht="13.2" customHeight="1">
      <c r="A40" s="146" t="str">
        <f t="shared" si="172"/>
        <v/>
      </c>
      <c r="B40" s="836"/>
      <c r="C40" s="837"/>
      <c r="D40" s="838"/>
      <c r="E40" s="839"/>
      <c r="F40" s="839"/>
      <c r="G40" s="839"/>
      <c r="H40" s="839"/>
      <c r="I40" s="839"/>
      <c r="J40" s="840"/>
      <c r="K40" s="227">
        <f t="shared" si="409"/>
        <v>0</v>
      </c>
      <c r="L40" s="227">
        <f t="shared" si="0"/>
        <v>0</v>
      </c>
      <c r="M40" s="841"/>
      <c r="N40" s="841"/>
      <c r="O40" s="841"/>
      <c r="P40" s="581" t="str">
        <f t="shared" si="407"/>
        <v/>
      </c>
      <c r="Q40" s="582" t="str">
        <f>IF(H40="","",P40/($P$6*VLOOKUP(C40,'DCA Underwriting Assumptions'!$J$77:$K$82,2,FALSE)))</f>
        <v/>
      </c>
      <c r="R40" s="739"/>
      <c r="S40" s="659"/>
      <c r="T40" s="113" t="str">
        <f t="shared" si="2"/>
        <v/>
      </c>
      <c r="U40" s="113" t="str">
        <f t="shared" si="3"/>
        <v/>
      </c>
      <c r="V40" s="113" t="str">
        <f t="shared" si="4"/>
        <v/>
      </c>
      <c r="W40" s="113" t="str">
        <f t="shared" si="5"/>
        <v/>
      </c>
      <c r="X40" s="113" t="str">
        <f t="shared" si="6"/>
        <v/>
      </c>
      <c r="Y40" s="113" t="str">
        <f t="shared" si="7"/>
        <v/>
      </c>
      <c r="Z40" s="113" t="str">
        <f t="shared" si="8"/>
        <v/>
      </c>
      <c r="AA40" s="113" t="str">
        <f t="shared" si="9"/>
        <v/>
      </c>
      <c r="AB40" s="113" t="str">
        <f t="shared" si="10"/>
        <v/>
      </c>
      <c r="AC40" s="113" t="str">
        <f t="shared" si="11"/>
        <v/>
      </c>
      <c r="AD40" s="113" t="str">
        <f t="shared" si="12"/>
        <v/>
      </c>
      <c r="AE40" s="113" t="str">
        <f t="shared" si="13"/>
        <v/>
      </c>
      <c r="AF40" s="113" t="str">
        <f t="shared" si="14"/>
        <v/>
      </c>
      <c r="AG40" s="113" t="str">
        <f t="shared" si="15"/>
        <v/>
      </c>
      <c r="AH40" s="113" t="str">
        <f t="shared" si="16"/>
        <v/>
      </c>
      <c r="AI40" s="113" t="str">
        <f t="shared" si="17"/>
        <v/>
      </c>
      <c r="AJ40" s="113" t="str">
        <f t="shared" si="18"/>
        <v/>
      </c>
      <c r="AK40" s="113" t="str">
        <f t="shared" si="19"/>
        <v/>
      </c>
      <c r="AL40" s="113" t="str">
        <f t="shared" si="20"/>
        <v/>
      </c>
      <c r="AM40" s="113" t="str">
        <f t="shared" si="21"/>
        <v/>
      </c>
      <c r="AN40" s="113" t="str">
        <f t="shared" si="174"/>
        <v/>
      </c>
      <c r="AO40" s="113" t="str">
        <f t="shared" si="175"/>
        <v/>
      </c>
      <c r="AP40" s="113" t="str">
        <f t="shared" si="176"/>
        <v/>
      </c>
      <c r="AQ40" s="113" t="str">
        <f t="shared" si="177"/>
        <v/>
      </c>
      <c r="AR40" s="113" t="str">
        <f t="shared" si="178"/>
        <v/>
      </c>
      <c r="AS40" s="113" t="str">
        <f t="shared" si="179"/>
        <v/>
      </c>
      <c r="AT40" s="113" t="str">
        <f t="shared" si="180"/>
        <v/>
      </c>
      <c r="AU40" s="113" t="str">
        <f t="shared" si="181"/>
        <v/>
      </c>
      <c r="AV40" s="113" t="str">
        <f t="shared" si="182"/>
        <v/>
      </c>
      <c r="AW40" s="113" t="str">
        <f t="shared" si="183"/>
        <v/>
      </c>
      <c r="AX40" s="113" t="str">
        <f t="shared" si="184"/>
        <v/>
      </c>
      <c r="AY40" s="113" t="str">
        <f t="shared" si="185"/>
        <v/>
      </c>
      <c r="AZ40" s="113" t="str">
        <f t="shared" si="186"/>
        <v/>
      </c>
      <c r="BA40" s="113" t="str">
        <f t="shared" si="187"/>
        <v/>
      </c>
      <c r="BB40" s="113" t="str">
        <f t="shared" si="188"/>
        <v/>
      </c>
      <c r="BC40" s="113" t="str">
        <f t="shared" si="189"/>
        <v/>
      </c>
      <c r="BD40" s="113" t="str">
        <f t="shared" si="190"/>
        <v/>
      </c>
      <c r="BE40" s="113" t="str">
        <f t="shared" si="191"/>
        <v/>
      </c>
      <c r="BF40" s="113" t="str">
        <f t="shared" si="192"/>
        <v/>
      </c>
      <c r="BG40" s="113" t="str">
        <f t="shared" si="193"/>
        <v/>
      </c>
      <c r="BH40" s="113" t="str">
        <f t="shared" si="194"/>
        <v/>
      </c>
      <c r="BI40" s="113" t="str">
        <f t="shared" si="195"/>
        <v/>
      </c>
      <c r="BJ40" s="113" t="str">
        <f t="shared" si="196"/>
        <v/>
      </c>
      <c r="BK40" s="113" t="str">
        <f t="shared" si="197"/>
        <v/>
      </c>
      <c r="BL40" s="113" t="str">
        <f t="shared" si="198"/>
        <v/>
      </c>
      <c r="BM40" s="113" t="str">
        <f t="shared" si="199"/>
        <v/>
      </c>
      <c r="BN40" s="113" t="str">
        <f t="shared" si="200"/>
        <v/>
      </c>
      <c r="BO40" s="113" t="str">
        <f t="shared" si="201"/>
        <v/>
      </c>
      <c r="BP40" s="113" t="str">
        <f t="shared" si="202"/>
        <v/>
      </c>
      <c r="BQ40" s="113" t="str">
        <f t="shared" si="203"/>
        <v/>
      </c>
      <c r="BR40" s="113" t="str">
        <f t="shared" si="22"/>
        <v/>
      </c>
      <c r="BS40" s="113" t="str">
        <f t="shared" si="23"/>
        <v/>
      </c>
      <c r="BT40" s="113" t="str">
        <f t="shared" si="24"/>
        <v/>
      </c>
      <c r="BU40" s="113" t="str">
        <f t="shared" si="25"/>
        <v/>
      </c>
      <c r="BV40" s="113" t="str">
        <f t="shared" si="26"/>
        <v/>
      </c>
      <c r="BW40" s="113" t="str">
        <f t="shared" si="27"/>
        <v/>
      </c>
      <c r="BX40" s="113" t="str">
        <f t="shared" si="28"/>
        <v/>
      </c>
      <c r="BY40" s="113" t="str">
        <f t="shared" si="29"/>
        <v/>
      </c>
      <c r="BZ40" s="113" t="str">
        <f t="shared" si="30"/>
        <v/>
      </c>
      <c r="CA40" s="113" t="str">
        <f t="shared" si="31"/>
        <v/>
      </c>
      <c r="CB40" s="113" t="str">
        <f t="shared" si="32"/>
        <v/>
      </c>
      <c r="CC40" s="113" t="str">
        <f t="shared" si="33"/>
        <v/>
      </c>
      <c r="CD40" s="113" t="str">
        <f t="shared" si="34"/>
        <v/>
      </c>
      <c r="CE40" s="113" t="str">
        <f t="shared" si="35"/>
        <v/>
      </c>
      <c r="CF40" s="113" t="str">
        <f t="shared" si="36"/>
        <v/>
      </c>
      <c r="CG40" s="113" t="str">
        <f t="shared" si="37"/>
        <v/>
      </c>
      <c r="CH40" s="113" t="str">
        <f t="shared" si="38"/>
        <v/>
      </c>
      <c r="CI40" s="113" t="str">
        <f t="shared" si="39"/>
        <v/>
      </c>
      <c r="CJ40" s="113" t="str">
        <f t="shared" si="40"/>
        <v/>
      </c>
      <c r="CK40" s="113" t="str">
        <f t="shared" si="41"/>
        <v/>
      </c>
      <c r="CL40" s="113" t="str">
        <f t="shared" si="42"/>
        <v/>
      </c>
      <c r="CM40" s="113" t="str">
        <f t="shared" si="43"/>
        <v/>
      </c>
      <c r="CN40" s="113" t="str">
        <f t="shared" si="44"/>
        <v/>
      </c>
      <c r="CO40" s="113" t="str">
        <f t="shared" si="45"/>
        <v/>
      </c>
      <c r="CP40" s="113" t="str">
        <f t="shared" si="46"/>
        <v/>
      </c>
      <c r="CQ40" s="113" t="str">
        <f t="shared" si="47"/>
        <v/>
      </c>
      <c r="CR40" s="113" t="str">
        <f t="shared" si="48"/>
        <v/>
      </c>
      <c r="CS40" s="113" t="str">
        <f t="shared" si="49"/>
        <v/>
      </c>
      <c r="CT40" s="113" t="str">
        <f t="shared" si="50"/>
        <v/>
      </c>
      <c r="CU40" s="113" t="str">
        <f t="shared" si="51"/>
        <v/>
      </c>
      <c r="CV40" s="113" t="str">
        <f t="shared" si="52"/>
        <v/>
      </c>
      <c r="CW40" s="113" t="str">
        <f t="shared" si="53"/>
        <v/>
      </c>
      <c r="CX40" s="113" t="str">
        <f t="shared" si="54"/>
        <v/>
      </c>
      <c r="CY40" s="113" t="str">
        <f t="shared" si="55"/>
        <v/>
      </c>
      <c r="CZ40" s="113" t="str">
        <f t="shared" si="56"/>
        <v/>
      </c>
      <c r="DA40" s="113" t="str">
        <f t="shared" si="57"/>
        <v/>
      </c>
      <c r="DB40" s="113" t="str">
        <f t="shared" si="58"/>
        <v/>
      </c>
      <c r="DC40" s="113" t="str">
        <f t="shared" si="59"/>
        <v/>
      </c>
      <c r="DD40" s="113" t="str">
        <f t="shared" si="60"/>
        <v/>
      </c>
      <c r="DE40" s="113" t="str">
        <f t="shared" si="61"/>
        <v/>
      </c>
      <c r="DF40" s="113" t="str">
        <f t="shared" si="62"/>
        <v/>
      </c>
      <c r="DG40" s="113" t="str">
        <f t="shared" si="63"/>
        <v/>
      </c>
      <c r="DH40" s="113" t="str">
        <f t="shared" si="64"/>
        <v/>
      </c>
      <c r="DI40" s="113" t="str">
        <f t="shared" si="65"/>
        <v/>
      </c>
      <c r="DJ40" s="113" t="str">
        <f t="shared" si="66"/>
        <v/>
      </c>
      <c r="DK40" s="113" t="str">
        <f t="shared" si="67"/>
        <v/>
      </c>
      <c r="DL40" s="113" t="str">
        <f t="shared" si="68"/>
        <v/>
      </c>
      <c r="DM40" s="113" t="str">
        <f t="shared" si="69"/>
        <v/>
      </c>
      <c r="DN40" s="113" t="str">
        <f t="shared" si="70"/>
        <v/>
      </c>
      <c r="DO40" s="113" t="str">
        <f t="shared" si="71"/>
        <v/>
      </c>
      <c r="DP40" s="113" t="str">
        <f t="shared" si="72"/>
        <v/>
      </c>
      <c r="DQ40" s="113" t="str">
        <f t="shared" si="73"/>
        <v/>
      </c>
      <c r="DR40" s="113" t="str">
        <f t="shared" si="74"/>
        <v/>
      </c>
      <c r="DS40" s="113" t="str">
        <f t="shared" si="75"/>
        <v/>
      </c>
      <c r="DT40" s="113" t="str">
        <f t="shared" si="76"/>
        <v/>
      </c>
      <c r="DU40" s="113" t="str">
        <f t="shared" si="77"/>
        <v/>
      </c>
      <c r="DV40" s="113" t="str">
        <f t="shared" si="78"/>
        <v/>
      </c>
      <c r="DW40" s="113" t="str">
        <f t="shared" si="79"/>
        <v/>
      </c>
      <c r="DX40" s="113" t="str">
        <f t="shared" si="80"/>
        <v/>
      </c>
      <c r="DY40" s="113" t="str">
        <f t="shared" si="81"/>
        <v/>
      </c>
      <c r="DZ40" s="113" t="str">
        <f t="shared" si="82"/>
        <v/>
      </c>
      <c r="EA40" s="113" t="str">
        <f t="shared" si="83"/>
        <v/>
      </c>
      <c r="EB40" s="113" t="str">
        <f t="shared" si="84"/>
        <v/>
      </c>
      <c r="EC40" s="113" t="str">
        <f t="shared" si="85"/>
        <v/>
      </c>
      <c r="ED40" s="113" t="str">
        <f t="shared" si="86"/>
        <v/>
      </c>
      <c r="EE40" s="113" t="str">
        <f t="shared" si="87"/>
        <v/>
      </c>
      <c r="EF40" s="113" t="str">
        <f t="shared" si="88"/>
        <v/>
      </c>
      <c r="EG40" s="113" t="str">
        <f t="shared" si="89"/>
        <v/>
      </c>
      <c r="EH40" s="113" t="str">
        <f t="shared" si="90"/>
        <v/>
      </c>
      <c r="EI40" s="113" t="str">
        <f t="shared" si="91"/>
        <v/>
      </c>
      <c r="EJ40" s="113" t="str">
        <f t="shared" si="92"/>
        <v/>
      </c>
      <c r="EK40" s="113" t="str">
        <f t="shared" si="93"/>
        <v/>
      </c>
      <c r="EL40" s="113" t="str">
        <f t="shared" si="94"/>
        <v/>
      </c>
      <c r="EM40" s="113" t="str">
        <f t="shared" si="95"/>
        <v/>
      </c>
      <c r="EN40" s="113" t="str">
        <f t="shared" si="96"/>
        <v/>
      </c>
      <c r="EO40" s="113" t="str">
        <f t="shared" si="97"/>
        <v/>
      </c>
      <c r="EP40" s="113" t="str">
        <f t="shared" si="98"/>
        <v/>
      </c>
      <c r="EQ40" s="113" t="str">
        <f t="shared" si="99"/>
        <v/>
      </c>
      <c r="ER40" s="113" t="str">
        <f t="shared" si="100"/>
        <v/>
      </c>
      <c r="ES40" s="113" t="str">
        <f t="shared" si="101"/>
        <v/>
      </c>
      <c r="ET40" s="660" t="str">
        <f t="shared" si="102"/>
        <v/>
      </c>
      <c r="EU40" s="660" t="str">
        <f t="shared" si="103"/>
        <v/>
      </c>
      <c r="EV40" s="660" t="str">
        <f t="shared" si="104"/>
        <v/>
      </c>
      <c r="EW40" s="660" t="str">
        <f t="shared" si="105"/>
        <v/>
      </c>
      <c r="EX40" s="660" t="str">
        <f t="shared" si="106"/>
        <v/>
      </c>
      <c r="EY40" s="660" t="str">
        <f t="shared" si="107"/>
        <v/>
      </c>
      <c r="EZ40" s="660" t="str">
        <f t="shared" si="108"/>
        <v/>
      </c>
      <c r="FA40" s="660" t="str">
        <f t="shared" si="109"/>
        <v/>
      </c>
      <c r="FB40" s="660" t="str">
        <f t="shared" si="110"/>
        <v/>
      </c>
      <c r="FC40" s="660" t="str">
        <f t="shared" si="111"/>
        <v/>
      </c>
      <c r="FD40" s="660" t="str">
        <f t="shared" si="112"/>
        <v/>
      </c>
      <c r="FE40" s="660" t="str">
        <f t="shared" si="113"/>
        <v/>
      </c>
      <c r="FF40" s="660" t="str">
        <f t="shared" si="114"/>
        <v/>
      </c>
      <c r="FG40" s="660" t="str">
        <f t="shared" si="115"/>
        <v/>
      </c>
      <c r="FH40" s="660" t="str">
        <f t="shared" si="116"/>
        <v/>
      </c>
      <c r="FI40" s="660" t="str">
        <f t="shared" si="117"/>
        <v/>
      </c>
      <c r="FJ40" s="660" t="str">
        <f t="shared" si="118"/>
        <v/>
      </c>
      <c r="FK40" s="660" t="str">
        <f t="shared" si="119"/>
        <v/>
      </c>
      <c r="FL40" s="660" t="str">
        <f t="shared" si="120"/>
        <v/>
      </c>
      <c r="FM40" s="660" t="str">
        <f t="shared" si="121"/>
        <v/>
      </c>
      <c r="FN40" s="660" t="str">
        <f t="shared" si="122"/>
        <v/>
      </c>
      <c r="FO40" s="660" t="str">
        <f t="shared" si="123"/>
        <v/>
      </c>
      <c r="FP40" s="660" t="str">
        <f t="shared" si="124"/>
        <v/>
      </c>
      <c r="FQ40" s="660" t="str">
        <f t="shared" si="125"/>
        <v/>
      </c>
      <c r="FR40" s="660" t="str">
        <f t="shared" si="126"/>
        <v/>
      </c>
      <c r="FS40" s="660" t="str">
        <f t="shared" si="127"/>
        <v/>
      </c>
      <c r="FT40" s="660" t="str">
        <f t="shared" si="128"/>
        <v/>
      </c>
      <c r="FU40" s="660" t="str">
        <f t="shared" si="129"/>
        <v/>
      </c>
      <c r="FV40" s="660" t="str">
        <f t="shared" si="130"/>
        <v/>
      </c>
      <c r="FW40" s="660" t="str">
        <f t="shared" si="131"/>
        <v/>
      </c>
      <c r="FX40" s="660" t="str">
        <f t="shared" si="132"/>
        <v/>
      </c>
      <c r="FY40" s="660" t="str">
        <f t="shared" si="133"/>
        <v/>
      </c>
      <c r="FZ40" s="660" t="str">
        <f t="shared" si="134"/>
        <v/>
      </c>
      <c r="GA40" s="660" t="str">
        <f t="shared" si="135"/>
        <v/>
      </c>
      <c r="GB40" s="660" t="str">
        <f t="shared" si="136"/>
        <v/>
      </c>
      <c r="GC40" s="660" t="str">
        <f t="shared" si="137"/>
        <v/>
      </c>
      <c r="GD40" s="660" t="str">
        <f t="shared" si="138"/>
        <v/>
      </c>
      <c r="GE40" s="660" t="str">
        <f t="shared" si="139"/>
        <v/>
      </c>
      <c r="GF40" s="660" t="str">
        <f t="shared" si="140"/>
        <v/>
      </c>
      <c r="GG40" s="660" t="str">
        <f t="shared" si="141"/>
        <v/>
      </c>
      <c r="GH40" s="660" t="str">
        <f t="shared" si="142"/>
        <v/>
      </c>
      <c r="GI40" s="660" t="str">
        <f t="shared" si="143"/>
        <v/>
      </c>
      <c r="GJ40" s="660" t="str">
        <f t="shared" si="144"/>
        <v/>
      </c>
      <c r="GK40" s="660" t="str">
        <f t="shared" si="145"/>
        <v/>
      </c>
      <c r="GL40" s="660" t="str">
        <f t="shared" si="146"/>
        <v/>
      </c>
      <c r="GM40" s="661" t="str">
        <f t="shared" si="147"/>
        <v/>
      </c>
      <c r="GN40" s="661" t="str">
        <f t="shared" si="148"/>
        <v/>
      </c>
      <c r="GO40" s="661" t="str">
        <f t="shared" si="149"/>
        <v/>
      </c>
      <c r="GP40" s="661" t="str">
        <f t="shared" si="150"/>
        <v/>
      </c>
      <c r="GQ40" s="661" t="str">
        <f t="shared" si="151"/>
        <v/>
      </c>
      <c r="GR40" s="113" t="str">
        <f t="shared" si="152"/>
        <v/>
      </c>
      <c r="GS40" s="113" t="str">
        <f t="shared" si="153"/>
        <v/>
      </c>
      <c r="GT40" s="113" t="str">
        <f t="shared" si="154"/>
        <v/>
      </c>
      <c r="GU40" s="113" t="str">
        <f t="shared" si="155"/>
        <v/>
      </c>
      <c r="GV40" s="113" t="str">
        <f t="shared" si="156"/>
        <v/>
      </c>
      <c r="GW40" s="113" t="str">
        <f t="shared" si="157"/>
        <v/>
      </c>
      <c r="GX40" s="113" t="str">
        <f t="shared" si="158"/>
        <v/>
      </c>
      <c r="GY40" s="113" t="str">
        <f t="shared" si="159"/>
        <v/>
      </c>
      <c r="GZ40" s="113" t="str">
        <f t="shared" si="160"/>
        <v/>
      </c>
      <c r="HA40" s="113" t="str">
        <f t="shared" si="161"/>
        <v/>
      </c>
      <c r="HB40" s="113" t="str">
        <f t="shared" si="162"/>
        <v/>
      </c>
      <c r="HC40" s="113" t="str">
        <f t="shared" si="163"/>
        <v/>
      </c>
      <c r="HD40" s="113" t="str">
        <f t="shared" si="164"/>
        <v/>
      </c>
      <c r="HE40" s="113" t="str">
        <f t="shared" si="165"/>
        <v/>
      </c>
      <c r="HF40" s="113" t="str">
        <f t="shared" si="166"/>
        <v/>
      </c>
      <c r="HG40" s="113" t="str">
        <f t="shared" si="167"/>
        <v/>
      </c>
      <c r="HH40" s="113" t="str">
        <f t="shared" si="168"/>
        <v/>
      </c>
      <c r="HI40" s="113" t="str">
        <f t="shared" si="169"/>
        <v/>
      </c>
      <c r="HJ40" s="113" t="str">
        <f t="shared" si="170"/>
        <v/>
      </c>
      <c r="HK40" s="113" t="str">
        <f t="shared" si="171"/>
        <v/>
      </c>
    </row>
    <row r="41" spans="1:219" ht="13.2" customHeight="1">
      <c r="A41" s="146" t="str">
        <f t="shared" si="172"/>
        <v/>
      </c>
      <c r="B41" s="836"/>
      <c r="C41" s="837"/>
      <c r="D41" s="838"/>
      <c r="E41" s="839"/>
      <c r="F41" s="839"/>
      <c r="G41" s="839"/>
      <c r="H41" s="839"/>
      <c r="I41" s="839"/>
      <c r="J41" s="840"/>
      <c r="K41" s="227">
        <f t="shared" si="409"/>
        <v>0</v>
      </c>
      <c r="L41" s="227">
        <f t="shared" si="0"/>
        <v>0</v>
      </c>
      <c r="M41" s="841"/>
      <c r="N41" s="841"/>
      <c r="O41" s="841"/>
      <c r="P41" s="581" t="str">
        <f t="shared" si="407"/>
        <v/>
      </c>
      <c r="Q41" s="582" t="str">
        <f>IF(H41="","",P41/($P$6*VLOOKUP(C41,'DCA Underwriting Assumptions'!$J$77:$K$82,2,FALSE)))</f>
        <v/>
      </c>
      <c r="R41" s="739"/>
      <c r="S41" s="659"/>
      <c r="T41" s="113" t="str">
        <f t="shared" si="2"/>
        <v/>
      </c>
      <c r="U41" s="113" t="str">
        <f t="shared" si="3"/>
        <v/>
      </c>
      <c r="V41" s="113" t="str">
        <f t="shared" si="4"/>
        <v/>
      </c>
      <c r="W41" s="113" t="str">
        <f t="shared" si="5"/>
        <v/>
      </c>
      <c r="X41" s="113" t="str">
        <f t="shared" si="6"/>
        <v/>
      </c>
      <c r="Y41" s="113" t="str">
        <f t="shared" si="7"/>
        <v/>
      </c>
      <c r="Z41" s="113" t="str">
        <f t="shared" si="8"/>
        <v/>
      </c>
      <c r="AA41" s="113" t="str">
        <f t="shared" si="9"/>
        <v/>
      </c>
      <c r="AB41" s="113" t="str">
        <f t="shared" si="10"/>
        <v/>
      </c>
      <c r="AC41" s="113" t="str">
        <f t="shared" si="11"/>
        <v/>
      </c>
      <c r="AD41" s="113" t="str">
        <f t="shared" si="12"/>
        <v/>
      </c>
      <c r="AE41" s="113" t="str">
        <f t="shared" si="13"/>
        <v/>
      </c>
      <c r="AF41" s="113" t="str">
        <f t="shared" si="14"/>
        <v/>
      </c>
      <c r="AG41" s="113" t="str">
        <f t="shared" si="15"/>
        <v/>
      </c>
      <c r="AH41" s="113" t="str">
        <f t="shared" si="16"/>
        <v/>
      </c>
      <c r="AI41" s="113" t="str">
        <f t="shared" si="17"/>
        <v/>
      </c>
      <c r="AJ41" s="113" t="str">
        <f t="shared" si="18"/>
        <v/>
      </c>
      <c r="AK41" s="113" t="str">
        <f t="shared" si="19"/>
        <v/>
      </c>
      <c r="AL41" s="113" t="str">
        <f t="shared" si="20"/>
        <v/>
      </c>
      <c r="AM41" s="113" t="str">
        <f t="shared" si="21"/>
        <v/>
      </c>
      <c r="AN41" s="113" t="str">
        <f t="shared" si="174"/>
        <v/>
      </c>
      <c r="AO41" s="113" t="str">
        <f t="shared" si="175"/>
        <v/>
      </c>
      <c r="AP41" s="113" t="str">
        <f t="shared" si="176"/>
        <v/>
      </c>
      <c r="AQ41" s="113" t="str">
        <f t="shared" si="177"/>
        <v/>
      </c>
      <c r="AR41" s="113" t="str">
        <f t="shared" si="178"/>
        <v/>
      </c>
      <c r="AS41" s="113" t="str">
        <f t="shared" si="179"/>
        <v/>
      </c>
      <c r="AT41" s="113" t="str">
        <f t="shared" si="180"/>
        <v/>
      </c>
      <c r="AU41" s="113" t="str">
        <f t="shared" si="181"/>
        <v/>
      </c>
      <c r="AV41" s="113" t="str">
        <f t="shared" si="182"/>
        <v/>
      </c>
      <c r="AW41" s="113" t="str">
        <f t="shared" si="183"/>
        <v/>
      </c>
      <c r="AX41" s="113" t="str">
        <f t="shared" si="184"/>
        <v/>
      </c>
      <c r="AY41" s="113" t="str">
        <f t="shared" si="185"/>
        <v/>
      </c>
      <c r="AZ41" s="113" t="str">
        <f t="shared" si="186"/>
        <v/>
      </c>
      <c r="BA41" s="113" t="str">
        <f t="shared" si="187"/>
        <v/>
      </c>
      <c r="BB41" s="113" t="str">
        <f t="shared" si="188"/>
        <v/>
      </c>
      <c r="BC41" s="113" t="str">
        <f t="shared" si="189"/>
        <v/>
      </c>
      <c r="BD41" s="113" t="str">
        <f t="shared" si="190"/>
        <v/>
      </c>
      <c r="BE41" s="113" t="str">
        <f t="shared" si="191"/>
        <v/>
      </c>
      <c r="BF41" s="113" t="str">
        <f t="shared" si="192"/>
        <v/>
      </c>
      <c r="BG41" s="113" t="str">
        <f t="shared" si="193"/>
        <v/>
      </c>
      <c r="BH41" s="113" t="str">
        <f t="shared" si="194"/>
        <v/>
      </c>
      <c r="BI41" s="113" t="str">
        <f t="shared" si="195"/>
        <v/>
      </c>
      <c r="BJ41" s="113" t="str">
        <f t="shared" si="196"/>
        <v/>
      </c>
      <c r="BK41" s="113" t="str">
        <f t="shared" si="197"/>
        <v/>
      </c>
      <c r="BL41" s="113" t="str">
        <f t="shared" si="198"/>
        <v/>
      </c>
      <c r="BM41" s="113" t="str">
        <f t="shared" si="199"/>
        <v/>
      </c>
      <c r="BN41" s="113" t="str">
        <f t="shared" si="200"/>
        <v/>
      </c>
      <c r="BO41" s="113" t="str">
        <f t="shared" si="201"/>
        <v/>
      </c>
      <c r="BP41" s="113" t="str">
        <f t="shared" si="202"/>
        <v/>
      </c>
      <c r="BQ41" s="113" t="str">
        <f t="shared" si="203"/>
        <v/>
      </c>
      <c r="BR41" s="113" t="str">
        <f t="shared" si="22"/>
        <v/>
      </c>
      <c r="BS41" s="113" t="str">
        <f t="shared" si="23"/>
        <v/>
      </c>
      <c r="BT41" s="113" t="str">
        <f t="shared" si="24"/>
        <v/>
      </c>
      <c r="BU41" s="113" t="str">
        <f t="shared" si="25"/>
        <v/>
      </c>
      <c r="BV41" s="113" t="str">
        <f t="shared" si="26"/>
        <v/>
      </c>
      <c r="BW41" s="113" t="str">
        <f t="shared" si="27"/>
        <v/>
      </c>
      <c r="BX41" s="113" t="str">
        <f t="shared" si="28"/>
        <v/>
      </c>
      <c r="BY41" s="113" t="str">
        <f t="shared" si="29"/>
        <v/>
      </c>
      <c r="BZ41" s="113" t="str">
        <f t="shared" si="30"/>
        <v/>
      </c>
      <c r="CA41" s="113" t="str">
        <f t="shared" si="31"/>
        <v/>
      </c>
      <c r="CB41" s="113" t="str">
        <f t="shared" si="32"/>
        <v/>
      </c>
      <c r="CC41" s="113" t="str">
        <f t="shared" si="33"/>
        <v/>
      </c>
      <c r="CD41" s="113" t="str">
        <f t="shared" si="34"/>
        <v/>
      </c>
      <c r="CE41" s="113" t="str">
        <f t="shared" si="35"/>
        <v/>
      </c>
      <c r="CF41" s="113" t="str">
        <f t="shared" si="36"/>
        <v/>
      </c>
      <c r="CG41" s="113" t="str">
        <f t="shared" si="37"/>
        <v/>
      </c>
      <c r="CH41" s="113" t="str">
        <f t="shared" si="38"/>
        <v/>
      </c>
      <c r="CI41" s="113" t="str">
        <f t="shared" si="39"/>
        <v/>
      </c>
      <c r="CJ41" s="113" t="str">
        <f t="shared" si="40"/>
        <v/>
      </c>
      <c r="CK41" s="113" t="str">
        <f t="shared" si="41"/>
        <v/>
      </c>
      <c r="CL41" s="113" t="str">
        <f t="shared" si="42"/>
        <v/>
      </c>
      <c r="CM41" s="113" t="str">
        <f t="shared" si="43"/>
        <v/>
      </c>
      <c r="CN41" s="113" t="str">
        <f t="shared" si="44"/>
        <v/>
      </c>
      <c r="CO41" s="113" t="str">
        <f t="shared" si="45"/>
        <v/>
      </c>
      <c r="CP41" s="113" t="str">
        <f t="shared" si="46"/>
        <v/>
      </c>
      <c r="CQ41" s="113" t="str">
        <f t="shared" si="47"/>
        <v/>
      </c>
      <c r="CR41" s="113" t="str">
        <f t="shared" si="48"/>
        <v/>
      </c>
      <c r="CS41" s="113" t="str">
        <f t="shared" si="49"/>
        <v/>
      </c>
      <c r="CT41" s="113" t="str">
        <f t="shared" si="50"/>
        <v/>
      </c>
      <c r="CU41" s="113" t="str">
        <f t="shared" si="51"/>
        <v/>
      </c>
      <c r="CV41" s="113" t="str">
        <f t="shared" si="52"/>
        <v/>
      </c>
      <c r="CW41" s="113" t="str">
        <f t="shared" si="53"/>
        <v/>
      </c>
      <c r="CX41" s="113" t="str">
        <f t="shared" si="54"/>
        <v/>
      </c>
      <c r="CY41" s="113" t="str">
        <f t="shared" si="55"/>
        <v/>
      </c>
      <c r="CZ41" s="113" t="str">
        <f t="shared" si="56"/>
        <v/>
      </c>
      <c r="DA41" s="113" t="str">
        <f t="shared" si="57"/>
        <v/>
      </c>
      <c r="DB41" s="113" t="str">
        <f t="shared" si="58"/>
        <v/>
      </c>
      <c r="DC41" s="113" t="str">
        <f t="shared" si="59"/>
        <v/>
      </c>
      <c r="DD41" s="113" t="str">
        <f t="shared" si="60"/>
        <v/>
      </c>
      <c r="DE41" s="113" t="str">
        <f t="shared" si="61"/>
        <v/>
      </c>
      <c r="DF41" s="113" t="str">
        <f t="shared" si="62"/>
        <v/>
      </c>
      <c r="DG41" s="113" t="str">
        <f t="shared" si="63"/>
        <v/>
      </c>
      <c r="DH41" s="113" t="str">
        <f t="shared" si="64"/>
        <v/>
      </c>
      <c r="DI41" s="113" t="str">
        <f t="shared" si="65"/>
        <v/>
      </c>
      <c r="DJ41" s="113" t="str">
        <f t="shared" si="66"/>
        <v/>
      </c>
      <c r="DK41" s="113" t="str">
        <f t="shared" si="67"/>
        <v/>
      </c>
      <c r="DL41" s="113" t="str">
        <f t="shared" si="68"/>
        <v/>
      </c>
      <c r="DM41" s="113" t="str">
        <f t="shared" si="69"/>
        <v/>
      </c>
      <c r="DN41" s="113" t="str">
        <f t="shared" si="70"/>
        <v/>
      </c>
      <c r="DO41" s="113" t="str">
        <f t="shared" si="71"/>
        <v/>
      </c>
      <c r="DP41" s="113" t="str">
        <f t="shared" si="72"/>
        <v/>
      </c>
      <c r="DQ41" s="113" t="str">
        <f t="shared" si="73"/>
        <v/>
      </c>
      <c r="DR41" s="113" t="str">
        <f t="shared" si="74"/>
        <v/>
      </c>
      <c r="DS41" s="113" t="str">
        <f t="shared" si="75"/>
        <v/>
      </c>
      <c r="DT41" s="113" t="str">
        <f t="shared" si="76"/>
        <v/>
      </c>
      <c r="DU41" s="113" t="str">
        <f t="shared" si="77"/>
        <v/>
      </c>
      <c r="DV41" s="113" t="str">
        <f t="shared" si="78"/>
        <v/>
      </c>
      <c r="DW41" s="113" t="str">
        <f t="shared" si="79"/>
        <v/>
      </c>
      <c r="DX41" s="113" t="str">
        <f t="shared" si="80"/>
        <v/>
      </c>
      <c r="DY41" s="113" t="str">
        <f t="shared" si="81"/>
        <v/>
      </c>
      <c r="DZ41" s="113" t="str">
        <f t="shared" si="82"/>
        <v/>
      </c>
      <c r="EA41" s="113" t="str">
        <f t="shared" si="83"/>
        <v/>
      </c>
      <c r="EB41" s="113" t="str">
        <f t="shared" si="84"/>
        <v/>
      </c>
      <c r="EC41" s="113" t="str">
        <f t="shared" si="85"/>
        <v/>
      </c>
      <c r="ED41" s="113" t="str">
        <f t="shared" si="86"/>
        <v/>
      </c>
      <c r="EE41" s="113" t="str">
        <f t="shared" si="87"/>
        <v/>
      </c>
      <c r="EF41" s="113" t="str">
        <f t="shared" si="88"/>
        <v/>
      </c>
      <c r="EG41" s="113" t="str">
        <f t="shared" si="89"/>
        <v/>
      </c>
      <c r="EH41" s="113" t="str">
        <f t="shared" si="90"/>
        <v/>
      </c>
      <c r="EI41" s="113" t="str">
        <f t="shared" si="91"/>
        <v/>
      </c>
      <c r="EJ41" s="113" t="str">
        <f t="shared" si="92"/>
        <v/>
      </c>
      <c r="EK41" s="113" t="str">
        <f t="shared" si="93"/>
        <v/>
      </c>
      <c r="EL41" s="113" t="str">
        <f t="shared" si="94"/>
        <v/>
      </c>
      <c r="EM41" s="113" t="str">
        <f t="shared" si="95"/>
        <v/>
      </c>
      <c r="EN41" s="113" t="str">
        <f t="shared" si="96"/>
        <v/>
      </c>
      <c r="EO41" s="113" t="str">
        <f t="shared" si="97"/>
        <v/>
      </c>
      <c r="EP41" s="113" t="str">
        <f t="shared" si="98"/>
        <v/>
      </c>
      <c r="EQ41" s="113" t="str">
        <f t="shared" si="99"/>
        <v/>
      </c>
      <c r="ER41" s="113" t="str">
        <f t="shared" si="100"/>
        <v/>
      </c>
      <c r="ES41" s="113" t="str">
        <f t="shared" si="101"/>
        <v/>
      </c>
      <c r="ET41" s="660" t="str">
        <f t="shared" si="102"/>
        <v/>
      </c>
      <c r="EU41" s="660" t="str">
        <f t="shared" si="103"/>
        <v/>
      </c>
      <c r="EV41" s="660" t="str">
        <f t="shared" si="104"/>
        <v/>
      </c>
      <c r="EW41" s="660" t="str">
        <f t="shared" si="105"/>
        <v/>
      </c>
      <c r="EX41" s="660" t="str">
        <f t="shared" si="106"/>
        <v/>
      </c>
      <c r="EY41" s="660" t="str">
        <f t="shared" si="107"/>
        <v/>
      </c>
      <c r="EZ41" s="660" t="str">
        <f t="shared" si="108"/>
        <v/>
      </c>
      <c r="FA41" s="660" t="str">
        <f t="shared" si="109"/>
        <v/>
      </c>
      <c r="FB41" s="660" t="str">
        <f t="shared" si="110"/>
        <v/>
      </c>
      <c r="FC41" s="660" t="str">
        <f t="shared" si="111"/>
        <v/>
      </c>
      <c r="FD41" s="660" t="str">
        <f t="shared" si="112"/>
        <v/>
      </c>
      <c r="FE41" s="660" t="str">
        <f t="shared" si="113"/>
        <v/>
      </c>
      <c r="FF41" s="660" t="str">
        <f t="shared" si="114"/>
        <v/>
      </c>
      <c r="FG41" s="660" t="str">
        <f t="shared" si="115"/>
        <v/>
      </c>
      <c r="FH41" s="660" t="str">
        <f t="shared" si="116"/>
        <v/>
      </c>
      <c r="FI41" s="660" t="str">
        <f t="shared" si="117"/>
        <v/>
      </c>
      <c r="FJ41" s="660" t="str">
        <f t="shared" si="118"/>
        <v/>
      </c>
      <c r="FK41" s="660" t="str">
        <f t="shared" si="119"/>
        <v/>
      </c>
      <c r="FL41" s="660" t="str">
        <f t="shared" si="120"/>
        <v/>
      </c>
      <c r="FM41" s="660" t="str">
        <f t="shared" si="121"/>
        <v/>
      </c>
      <c r="FN41" s="660" t="str">
        <f t="shared" si="122"/>
        <v/>
      </c>
      <c r="FO41" s="660" t="str">
        <f t="shared" si="123"/>
        <v/>
      </c>
      <c r="FP41" s="660" t="str">
        <f t="shared" si="124"/>
        <v/>
      </c>
      <c r="FQ41" s="660" t="str">
        <f t="shared" si="125"/>
        <v/>
      </c>
      <c r="FR41" s="660" t="str">
        <f t="shared" si="126"/>
        <v/>
      </c>
      <c r="FS41" s="660" t="str">
        <f t="shared" si="127"/>
        <v/>
      </c>
      <c r="FT41" s="660" t="str">
        <f t="shared" si="128"/>
        <v/>
      </c>
      <c r="FU41" s="660" t="str">
        <f t="shared" si="129"/>
        <v/>
      </c>
      <c r="FV41" s="660" t="str">
        <f t="shared" si="130"/>
        <v/>
      </c>
      <c r="FW41" s="660" t="str">
        <f t="shared" si="131"/>
        <v/>
      </c>
      <c r="FX41" s="660" t="str">
        <f t="shared" si="132"/>
        <v/>
      </c>
      <c r="FY41" s="660" t="str">
        <f t="shared" si="133"/>
        <v/>
      </c>
      <c r="FZ41" s="660" t="str">
        <f t="shared" si="134"/>
        <v/>
      </c>
      <c r="GA41" s="660" t="str">
        <f t="shared" si="135"/>
        <v/>
      </c>
      <c r="GB41" s="660" t="str">
        <f t="shared" si="136"/>
        <v/>
      </c>
      <c r="GC41" s="660" t="str">
        <f t="shared" si="137"/>
        <v/>
      </c>
      <c r="GD41" s="660" t="str">
        <f t="shared" si="138"/>
        <v/>
      </c>
      <c r="GE41" s="660" t="str">
        <f t="shared" si="139"/>
        <v/>
      </c>
      <c r="GF41" s="660" t="str">
        <f t="shared" si="140"/>
        <v/>
      </c>
      <c r="GG41" s="660" t="str">
        <f t="shared" si="141"/>
        <v/>
      </c>
      <c r="GH41" s="660" t="str">
        <f t="shared" si="142"/>
        <v/>
      </c>
      <c r="GI41" s="660" t="str">
        <f t="shared" si="143"/>
        <v/>
      </c>
      <c r="GJ41" s="660" t="str">
        <f t="shared" si="144"/>
        <v/>
      </c>
      <c r="GK41" s="660" t="str">
        <f t="shared" si="145"/>
        <v/>
      </c>
      <c r="GL41" s="660" t="str">
        <f t="shared" si="146"/>
        <v/>
      </c>
      <c r="GM41" s="661" t="str">
        <f t="shared" si="147"/>
        <v/>
      </c>
      <c r="GN41" s="661" t="str">
        <f t="shared" si="148"/>
        <v/>
      </c>
      <c r="GO41" s="661" t="str">
        <f t="shared" si="149"/>
        <v/>
      </c>
      <c r="GP41" s="661" t="str">
        <f t="shared" si="150"/>
        <v/>
      </c>
      <c r="GQ41" s="661" t="str">
        <f t="shared" si="151"/>
        <v/>
      </c>
      <c r="GR41" s="113" t="str">
        <f t="shared" si="152"/>
        <v/>
      </c>
      <c r="GS41" s="113" t="str">
        <f t="shared" si="153"/>
        <v/>
      </c>
      <c r="GT41" s="113" t="str">
        <f t="shared" si="154"/>
        <v/>
      </c>
      <c r="GU41" s="113" t="str">
        <f t="shared" si="155"/>
        <v/>
      </c>
      <c r="GV41" s="113" t="str">
        <f t="shared" si="156"/>
        <v/>
      </c>
      <c r="GW41" s="113" t="str">
        <f t="shared" si="157"/>
        <v/>
      </c>
      <c r="GX41" s="113" t="str">
        <f t="shared" si="158"/>
        <v/>
      </c>
      <c r="GY41" s="113" t="str">
        <f t="shared" si="159"/>
        <v/>
      </c>
      <c r="GZ41" s="113" t="str">
        <f t="shared" si="160"/>
        <v/>
      </c>
      <c r="HA41" s="113" t="str">
        <f t="shared" si="161"/>
        <v/>
      </c>
      <c r="HB41" s="113" t="str">
        <f t="shared" si="162"/>
        <v/>
      </c>
      <c r="HC41" s="113" t="str">
        <f t="shared" si="163"/>
        <v/>
      </c>
      <c r="HD41" s="113" t="str">
        <f t="shared" si="164"/>
        <v/>
      </c>
      <c r="HE41" s="113" t="str">
        <f t="shared" si="165"/>
        <v/>
      </c>
      <c r="HF41" s="113" t="str">
        <f t="shared" si="166"/>
        <v/>
      </c>
      <c r="HG41" s="113" t="str">
        <f t="shared" si="167"/>
        <v/>
      </c>
      <c r="HH41" s="113" t="str">
        <f t="shared" si="168"/>
        <v/>
      </c>
      <c r="HI41" s="113" t="str">
        <f t="shared" si="169"/>
        <v/>
      </c>
      <c r="HJ41" s="113" t="str">
        <f t="shared" si="170"/>
        <v/>
      </c>
      <c r="HK41" s="113" t="str">
        <f t="shared" si="171"/>
        <v/>
      </c>
    </row>
    <row r="42" spans="1:219" ht="13.2" customHeight="1">
      <c r="A42" s="146" t="str">
        <f t="shared" si="172"/>
        <v/>
      </c>
      <c r="B42" s="836"/>
      <c r="C42" s="837"/>
      <c r="D42" s="838"/>
      <c r="E42" s="839"/>
      <c r="F42" s="839"/>
      <c r="G42" s="839"/>
      <c r="H42" s="839"/>
      <c r="I42" s="839"/>
      <c r="J42" s="840"/>
      <c r="K42" s="227">
        <f t="shared" si="409"/>
        <v>0</v>
      </c>
      <c r="L42" s="227">
        <f t="shared" si="0"/>
        <v>0</v>
      </c>
      <c r="M42" s="841"/>
      <c r="N42" s="841"/>
      <c r="O42" s="841"/>
      <c r="P42" s="581" t="str">
        <f t="shared" si="407"/>
        <v/>
      </c>
      <c r="Q42" s="582" t="str">
        <f>IF(H42="","",P42/($P$6*VLOOKUP(C42,'DCA Underwriting Assumptions'!$J$77:$K$82,2,FALSE)))</f>
        <v/>
      </c>
      <c r="R42" s="739"/>
      <c r="S42" s="659"/>
      <c r="T42" s="113" t="str">
        <f t="shared" si="2"/>
        <v/>
      </c>
      <c r="U42" s="113" t="str">
        <f t="shared" si="3"/>
        <v/>
      </c>
      <c r="V42" s="113" t="str">
        <f t="shared" si="4"/>
        <v/>
      </c>
      <c r="W42" s="113" t="str">
        <f t="shared" si="5"/>
        <v/>
      </c>
      <c r="X42" s="113" t="str">
        <f t="shared" si="6"/>
        <v/>
      </c>
      <c r="Y42" s="113" t="str">
        <f t="shared" si="7"/>
        <v/>
      </c>
      <c r="Z42" s="113" t="str">
        <f t="shared" si="8"/>
        <v/>
      </c>
      <c r="AA42" s="113" t="str">
        <f t="shared" si="9"/>
        <v/>
      </c>
      <c r="AB42" s="113" t="str">
        <f t="shared" si="10"/>
        <v/>
      </c>
      <c r="AC42" s="113" t="str">
        <f t="shared" si="11"/>
        <v/>
      </c>
      <c r="AD42" s="113" t="str">
        <f t="shared" si="12"/>
        <v/>
      </c>
      <c r="AE42" s="113" t="str">
        <f t="shared" si="13"/>
        <v/>
      </c>
      <c r="AF42" s="113" t="str">
        <f t="shared" si="14"/>
        <v/>
      </c>
      <c r="AG42" s="113" t="str">
        <f t="shared" si="15"/>
        <v/>
      </c>
      <c r="AH42" s="113" t="str">
        <f t="shared" si="16"/>
        <v/>
      </c>
      <c r="AI42" s="113" t="str">
        <f t="shared" si="17"/>
        <v/>
      </c>
      <c r="AJ42" s="113" t="str">
        <f t="shared" si="18"/>
        <v/>
      </c>
      <c r="AK42" s="113" t="str">
        <f t="shared" si="19"/>
        <v/>
      </c>
      <c r="AL42" s="113" t="str">
        <f t="shared" si="20"/>
        <v/>
      </c>
      <c r="AM42" s="113" t="str">
        <f t="shared" si="21"/>
        <v/>
      </c>
      <c r="AN42" s="113" t="str">
        <f t="shared" si="174"/>
        <v/>
      </c>
      <c r="AO42" s="113" t="str">
        <f t="shared" si="175"/>
        <v/>
      </c>
      <c r="AP42" s="113" t="str">
        <f t="shared" si="176"/>
        <v/>
      </c>
      <c r="AQ42" s="113" t="str">
        <f t="shared" si="177"/>
        <v/>
      </c>
      <c r="AR42" s="113" t="str">
        <f t="shared" si="178"/>
        <v/>
      </c>
      <c r="AS42" s="113" t="str">
        <f t="shared" si="179"/>
        <v/>
      </c>
      <c r="AT42" s="113" t="str">
        <f t="shared" si="180"/>
        <v/>
      </c>
      <c r="AU42" s="113" t="str">
        <f t="shared" si="181"/>
        <v/>
      </c>
      <c r="AV42" s="113" t="str">
        <f t="shared" si="182"/>
        <v/>
      </c>
      <c r="AW42" s="113" t="str">
        <f t="shared" si="183"/>
        <v/>
      </c>
      <c r="AX42" s="113" t="str">
        <f t="shared" si="184"/>
        <v/>
      </c>
      <c r="AY42" s="113" t="str">
        <f t="shared" si="185"/>
        <v/>
      </c>
      <c r="AZ42" s="113" t="str">
        <f t="shared" si="186"/>
        <v/>
      </c>
      <c r="BA42" s="113" t="str">
        <f t="shared" si="187"/>
        <v/>
      </c>
      <c r="BB42" s="113" t="str">
        <f t="shared" si="188"/>
        <v/>
      </c>
      <c r="BC42" s="113" t="str">
        <f t="shared" si="189"/>
        <v/>
      </c>
      <c r="BD42" s="113" t="str">
        <f t="shared" si="190"/>
        <v/>
      </c>
      <c r="BE42" s="113" t="str">
        <f t="shared" si="191"/>
        <v/>
      </c>
      <c r="BF42" s="113" t="str">
        <f t="shared" si="192"/>
        <v/>
      </c>
      <c r="BG42" s="113" t="str">
        <f t="shared" si="193"/>
        <v/>
      </c>
      <c r="BH42" s="113" t="str">
        <f t="shared" si="194"/>
        <v/>
      </c>
      <c r="BI42" s="113" t="str">
        <f t="shared" si="195"/>
        <v/>
      </c>
      <c r="BJ42" s="113" t="str">
        <f t="shared" si="196"/>
        <v/>
      </c>
      <c r="BK42" s="113" t="str">
        <f t="shared" si="197"/>
        <v/>
      </c>
      <c r="BL42" s="113" t="str">
        <f t="shared" si="198"/>
        <v/>
      </c>
      <c r="BM42" s="113" t="str">
        <f t="shared" si="199"/>
        <v/>
      </c>
      <c r="BN42" s="113" t="str">
        <f t="shared" si="200"/>
        <v/>
      </c>
      <c r="BO42" s="113" t="str">
        <f t="shared" si="201"/>
        <v/>
      </c>
      <c r="BP42" s="113" t="str">
        <f t="shared" si="202"/>
        <v/>
      </c>
      <c r="BQ42" s="113" t="str">
        <f t="shared" si="203"/>
        <v/>
      </c>
      <c r="BR42" s="113" t="str">
        <f t="shared" si="22"/>
        <v/>
      </c>
      <c r="BS42" s="113" t="str">
        <f t="shared" si="23"/>
        <v/>
      </c>
      <c r="BT42" s="113" t="str">
        <f t="shared" si="24"/>
        <v/>
      </c>
      <c r="BU42" s="113" t="str">
        <f t="shared" si="25"/>
        <v/>
      </c>
      <c r="BV42" s="113" t="str">
        <f t="shared" si="26"/>
        <v/>
      </c>
      <c r="BW42" s="113" t="str">
        <f t="shared" si="27"/>
        <v/>
      </c>
      <c r="BX42" s="113" t="str">
        <f t="shared" si="28"/>
        <v/>
      </c>
      <c r="BY42" s="113" t="str">
        <f t="shared" si="29"/>
        <v/>
      </c>
      <c r="BZ42" s="113" t="str">
        <f t="shared" si="30"/>
        <v/>
      </c>
      <c r="CA42" s="113" t="str">
        <f t="shared" si="31"/>
        <v/>
      </c>
      <c r="CB42" s="113" t="str">
        <f t="shared" si="32"/>
        <v/>
      </c>
      <c r="CC42" s="113" t="str">
        <f t="shared" si="33"/>
        <v/>
      </c>
      <c r="CD42" s="113" t="str">
        <f t="shared" si="34"/>
        <v/>
      </c>
      <c r="CE42" s="113" t="str">
        <f t="shared" si="35"/>
        <v/>
      </c>
      <c r="CF42" s="113" t="str">
        <f t="shared" si="36"/>
        <v/>
      </c>
      <c r="CG42" s="113" t="str">
        <f t="shared" si="37"/>
        <v/>
      </c>
      <c r="CH42" s="113" t="str">
        <f t="shared" si="38"/>
        <v/>
      </c>
      <c r="CI42" s="113" t="str">
        <f t="shared" si="39"/>
        <v/>
      </c>
      <c r="CJ42" s="113" t="str">
        <f t="shared" si="40"/>
        <v/>
      </c>
      <c r="CK42" s="113" t="str">
        <f t="shared" si="41"/>
        <v/>
      </c>
      <c r="CL42" s="113" t="str">
        <f t="shared" si="42"/>
        <v/>
      </c>
      <c r="CM42" s="113" t="str">
        <f t="shared" si="43"/>
        <v/>
      </c>
      <c r="CN42" s="113" t="str">
        <f t="shared" si="44"/>
        <v/>
      </c>
      <c r="CO42" s="113" t="str">
        <f t="shared" si="45"/>
        <v/>
      </c>
      <c r="CP42" s="113" t="str">
        <f t="shared" si="46"/>
        <v/>
      </c>
      <c r="CQ42" s="113" t="str">
        <f t="shared" si="47"/>
        <v/>
      </c>
      <c r="CR42" s="113" t="str">
        <f t="shared" si="48"/>
        <v/>
      </c>
      <c r="CS42" s="113" t="str">
        <f t="shared" si="49"/>
        <v/>
      </c>
      <c r="CT42" s="113" t="str">
        <f t="shared" si="50"/>
        <v/>
      </c>
      <c r="CU42" s="113" t="str">
        <f t="shared" si="51"/>
        <v/>
      </c>
      <c r="CV42" s="113" t="str">
        <f t="shared" si="52"/>
        <v/>
      </c>
      <c r="CW42" s="113" t="str">
        <f t="shared" si="53"/>
        <v/>
      </c>
      <c r="CX42" s="113" t="str">
        <f t="shared" si="54"/>
        <v/>
      </c>
      <c r="CY42" s="113" t="str">
        <f t="shared" si="55"/>
        <v/>
      </c>
      <c r="CZ42" s="113" t="str">
        <f t="shared" si="56"/>
        <v/>
      </c>
      <c r="DA42" s="113" t="str">
        <f t="shared" si="57"/>
        <v/>
      </c>
      <c r="DB42" s="113" t="str">
        <f t="shared" si="58"/>
        <v/>
      </c>
      <c r="DC42" s="113" t="str">
        <f t="shared" si="59"/>
        <v/>
      </c>
      <c r="DD42" s="113" t="str">
        <f t="shared" si="60"/>
        <v/>
      </c>
      <c r="DE42" s="113" t="str">
        <f t="shared" si="61"/>
        <v/>
      </c>
      <c r="DF42" s="113" t="str">
        <f t="shared" si="62"/>
        <v/>
      </c>
      <c r="DG42" s="113" t="str">
        <f t="shared" si="63"/>
        <v/>
      </c>
      <c r="DH42" s="113" t="str">
        <f t="shared" si="64"/>
        <v/>
      </c>
      <c r="DI42" s="113" t="str">
        <f t="shared" si="65"/>
        <v/>
      </c>
      <c r="DJ42" s="113" t="str">
        <f t="shared" si="66"/>
        <v/>
      </c>
      <c r="DK42" s="113" t="str">
        <f t="shared" si="67"/>
        <v/>
      </c>
      <c r="DL42" s="113" t="str">
        <f t="shared" si="68"/>
        <v/>
      </c>
      <c r="DM42" s="113" t="str">
        <f t="shared" si="69"/>
        <v/>
      </c>
      <c r="DN42" s="113" t="str">
        <f t="shared" si="70"/>
        <v/>
      </c>
      <c r="DO42" s="113" t="str">
        <f t="shared" si="71"/>
        <v/>
      </c>
      <c r="DP42" s="113" t="str">
        <f t="shared" si="72"/>
        <v/>
      </c>
      <c r="DQ42" s="113" t="str">
        <f t="shared" si="73"/>
        <v/>
      </c>
      <c r="DR42" s="113" t="str">
        <f t="shared" si="74"/>
        <v/>
      </c>
      <c r="DS42" s="113" t="str">
        <f t="shared" si="75"/>
        <v/>
      </c>
      <c r="DT42" s="113" t="str">
        <f t="shared" si="76"/>
        <v/>
      </c>
      <c r="DU42" s="113" t="str">
        <f t="shared" si="77"/>
        <v/>
      </c>
      <c r="DV42" s="113" t="str">
        <f t="shared" si="78"/>
        <v/>
      </c>
      <c r="DW42" s="113" t="str">
        <f t="shared" si="79"/>
        <v/>
      </c>
      <c r="DX42" s="113" t="str">
        <f t="shared" si="80"/>
        <v/>
      </c>
      <c r="DY42" s="113" t="str">
        <f t="shared" si="81"/>
        <v/>
      </c>
      <c r="DZ42" s="113" t="str">
        <f t="shared" si="82"/>
        <v/>
      </c>
      <c r="EA42" s="113" t="str">
        <f t="shared" si="83"/>
        <v/>
      </c>
      <c r="EB42" s="113" t="str">
        <f t="shared" si="84"/>
        <v/>
      </c>
      <c r="EC42" s="113" t="str">
        <f t="shared" si="85"/>
        <v/>
      </c>
      <c r="ED42" s="113" t="str">
        <f t="shared" si="86"/>
        <v/>
      </c>
      <c r="EE42" s="113" t="str">
        <f t="shared" si="87"/>
        <v/>
      </c>
      <c r="EF42" s="113" t="str">
        <f t="shared" si="88"/>
        <v/>
      </c>
      <c r="EG42" s="113" t="str">
        <f t="shared" si="89"/>
        <v/>
      </c>
      <c r="EH42" s="113" t="str">
        <f t="shared" si="90"/>
        <v/>
      </c>
      <c r="EI42" s="113" t="str">
        <f t="shared" si="91"/>
        <v/>
      </c>
      <c r="EJ42" s="113" t="str">
        <f t="shared" si="92"/>
        <v/>
      </c>
      <c r="EK42" s="113" t="str">
        <f t="shared" si="93"/>
        <v/>
      </c>
      <c r="EL42" s="113" t="str">
        <f t="shared" si="94"/>
        <v/>
      </c>
      <c r="EM42" s="113" t="str">
        <f t="shared" si="95"/>
        <v/>
      </c>
      <c r="EN42" s="113" t="str">
        <f t="shared" si="96"/>
        <v/>
      </c>
      <c r="EO42" s="113" t="str">
        <f t="shared" si="97"/>
        <v/>
      </c>
      <c r="EP42" s="113" t="str">
        <f t="shared" si="98"/>
        <v/>
      </c>
      <c r="EQ42" s="113" t="str">
        <f t="shared" si="99"/>
        <v/>
      </c>
      <c r="ER42" s="113" t="str">
        <f t="shared" si="100"/>
        <v/>
      </c>
      <c r="ES42" s="113" t="str">
        <f t="shared" si="101"/>
        <v/>
      </c>
      <c r="ET42" s="660" t="str">
        <f t="shared" si="102"/>
        <v/>
      </c>
      <c r="EU42" s="660" t="str">
        <f t="shared" si="103"/>
        <v/>
      </c>
      <c r="EV42" s="660" t="str">
        <f t="shared" si="104"/>
        <v/>
      </c>
      <c r="EW42" s="660" t="str">
        <f t="shared" si="105"/>
        <v/>
      </c>
      <c r="EX42" s="660" t="str">
        <f t="shared" si="106"/>
        <v/>
      </c>
      <c r="EY42" s="660" t="str">
        <f t="shared" si="107"/>
        <v/>
      </c>
      <c r="EZ42" s="660" t="str">
        <f t="shared" si="108"/>
        <v/>
      </c>
      <c r="FA42" s="660" t="str">
        <f t="shared" si="109"/>
        <v/>
      </c>
      <c r="FB42" s="660" t="str">
        <f t="shared" si="110"/>
        <v/>
      </c>
      <c r="FC42" s="660" t="str">
        <f t="shared" si="111"/>
        <v/>
      </c>
      <c r="FD42" s="660" t="str">
        <f t="shared" si="112"/>
        <v/>
      </c>
      <c r="FE42" s="660" t="str">
        <f t="shared" si="113"/>
        <v/>
      </c>
      <c r="FF42" s="660" t="str">
        <f t="shared" si="114"/>
        <v/>
      </c>
      <c r="FG42" s="660" t="str">
        <f t="shared" si="115"/>
        <v/>
      </c>
      <c r="FH42" s="660" t="str">
        <f t="shared" si="116"/>
        <v/>
      </c>
      <c r="FI42" s="660" t="str">
        <f t="shared" si="117"/>
        <v/>
      </c>
      <c r="FJ42" s="660" t="str">
        <f t="shared" si="118"/>
        <v/>
      </c>
      <c r="FK42" s="660" t="str">
        <f t="shared" si="119"/>
        <v/>
      </c>
      <c r="FL42" s="660" t="str">
        <f t="shared" si="120"/>
        <v/>
      </c>
      <c r="FM42" s="660" t="str">
        <f t="shared" si="121"/>
        <v/>
      </c>
      <c r="FN42" s="660" t="str">
        <f t="shared" si="122"/>
        <v/>
      </c>
      <c r="FO42" s="660" t="str">
        <f t="shared" si="123"/>
        <v/>
      </c>
      <c r="FP42" s="660" t="str">
        <f t="shared" si="124"/>
        <v/>
      </c>
      <c r="FQ42" s="660" t="str">
        <f t="shared" si="125"/>
        <v/>
      </c>
      <c r="FR42" s="660" t="str">
        <f t="shared" si="126"/>
        <v/>
      </c>
      <c r="FS42" s="660" t="str">
        <f t="shared" si="127"/>
        <v/>
      </c>
      <c r="FT42" s="660" t="str">
        <f t="shared" si="128"/>
        <v/>
      </c>
      <c r="FU42" s="660" t="str">
        <f t="shared" si="129"/>
        <v/>
      </c>
      <c r="FV42" s="660" t="str">
        <f t="shared" si="130"/>
        <v/>
      </c>
      <c r="FW42" s="660" t="str">
        <f t="shared" si="131"/>
        <v/>
      </c>
      <c r="FX42" s="660" t="str">
        <f t="shared" si="132"/>
        <v/>
      </c>
      <c r="FY42" s="660" t="str">
        <f t="shared" si="133"/>
        <v/>
      </c>
      <c r="FZ42" s="660" t="str">
        <f t="shared" si="134"/>
        <v/>
      </c>
      <c r="GA42" s="660" t="str">
        <f t="shared" si="135"/>
        <v/>
      </c>
      <c r="GB42" s="660" t="str">
        <f t="shared" si="136"/>
        <v/>
      </c>
      <c r="GC42" s="660" t="str">
        <f t="shared" si="137"/>
        <v/>
      </c>
      <c r="GD42" s="660" t="str">
        <f t="shared" si="138"/>
        <v/>
      </c>
      <c r="GE42" s="660" t="str">
        <f t="shared" si="139"/>
        <v/>
      </c>
      <c r="GF42" s="660" t="str">
        <f t="shared" si="140"/>
        <v/>
      </c>
      <c r="GG42" s="660" t="str">
        <f t="shared" si="141"/>
        <v/>
      </c>
      <c r="GH42" s="660" t="str">
        <f t="shared" si="142"/>
        <v/>
      </c>
      <c r="GI42" s="660" t="str">
        <f t="shared" si="143"/>
        <v/>
      </c>
      <c r="GJ42" s="660" t="str">
        <f t="shared" si="144"/>
        <v/>
      </c>
      <c r="GK42" s="660" t="str">
        <f t="shared" si="145"/>
        <v/>
      </c>
      <c r="GL42" s="660" t="str">
        <f t="shared" si="146"/>
        <v/>
      </c>
      <c r="GM42" s="661" t="str">
        <f t="shared" si="147"/>
        <v/>
      </c>
      <c r="GN42" s="661" t="str">
        <f t="shared" si="148"/>
        <v/>
      </c>
      <c r="GO42" s="661" t="str">
        <f t="shared" si="149"/>
        <v/>
      </c>
      <c r="GP42" s="661" t="str">
        <f t="shared" si="150"/>
        <v/>
      </c>
      <c r="GQ42" s="661" t="str">
        <f t="shared" si="151"/>
        <v/>
      </c>
      <c r="GR42" s="113" t="str">
        <f t="shared" si="152"/>
        <v/>
      </c>
      <c r="GS42" s="113" t="str">
        <f t="shared" si="153"/>
        <v/>
      </c>
      <c r="GT42" s="113" t="str">
        <f t="shared" si="154"/>
        <v/>
      </c>
      <c r="GU42" s="113" t="str">
        <f t="shared" si="155"/>
        <v/>
      </c>
      <c r="GV42" s="113" t="str">
        <f t="shared" si="156"/>
        <v/>
      </c>
      <c r="GW42" s="113" t="str">
        <f t="shared" si="157"/>
        <v/>
      </c>
      <c r="GX42" s="113" t="str">
        <f t="shared" si="158"/>
        <v/>
      </c>
      <c r="GY42" s="113" t="str">
        <f t="shared" si="159"/>
        <v/>
      </c>
      <c r="GZ42" s="113" t="str">
        <f t="shared" si="160"/>
        <v/>
      </c>
      <c r="HA42" s="113" t="str">
        <f t="shared" si="161"/>
        <v/>
      </c>
      <c r="HB42" s="113" t="str">
        <f t="shared" si="162"/>
        <v/>
      </c>
      <c r="HC42" s="113" t="str">
        <f t="shared" si="163"/>
        <v/>
      </c>
      <c r="HD42" s="113" t="str">
        <f t="shared" si="164"/>
        <v/>
      </c>
      <c r="HE42" s="113" t="str">
        <f t="shared" si="165"/>
        <v/>
      </c>
      <c r="HF42" s="113" t="str">
        <f t="shared" si="166"/>
        <v/>
      </c>
      <c r="HG42" s="113" t="str">
        <f t="shared" si="167"/>
        <v/>
      </c>
      <c r="HH42" s="113" t="str">
        <f t="shared" si="168"/>
        <v/>
      </c>
      <c r="HI42" s="113" t="str">
        <f t="shared" si="169"/>
        <v/>
      </c>
      <c r="HJ42" s="113" t="str">
        <f t="shared" si="170"/>
        <v/>
      </c>
      <c r="HK42" s="113" t="str">
        <f t="shared" si="171"/>
        <v/>
      </c>
    </row>
    <row r="43" spans="1:219" ht="13.2" customHeight="1">
      <c r="A43" s="146" t="str">
        <f t="shared" si="172"/>
        <v/>
      </c>
      <c r="B43" s="836"/>
      <c r="C43" s="837"/>
      <c r="D43" s="838"/>
      <c r="E43" s="839"/>
      <c r="F43" s="839"/>
      <c r="G43" s="839"/>
      <c r="H43" s="839"/>
      <c r="I43" s="839"/>
      <c r="J43" s="840"/>
      <c r="K43" s="227">
        <f t="shared" si="409"/>
        <v>0</v>
      </c>
      <c r="L43" s="227">
        <f t="shared" si="0"/>
        <v>0</v>
      </c>
      <c r="M43" s="841"/>
      <c r="N43" s="841"/>
      <c r="O43" s="841"/>
      <c r="P43" s="581" t="str">
        <f t="shared" si="407"/>
        <v/>
      </c>
      <c r="Q43" s="582" t="str">
        <f>IF(H43="","",P43/($P$6*VLOOKUP(C43,'DCA Underwriting Assumptions'!$J$77:$K$82,2,FALSE)))</f>
        <v/>
      </c>
      <c r="R43" s="739"/>
      <c r="S43" s="659"/>
      <c r="T43" s="113" t="str">
        <f t="shared" si="2"/>
        <v/>
      </c>
      <c r="U43" s="113" t="str">
        <f t="shared" si="3"/>
        <v/>
      </c>
      <c r="V43" s="113" t="str">
        <f t="shared" si="4"/>
        <v/>
      </c>
      <c r="W43" s="113" t="str">
        <f t="shared" si="5"/>
        <v/>
      </c>
      <c r="X43" s="113" t="str">
        <f t="shared" si="6"/>
        <v/>
      </c>
      <c r="Y43" s="113" t="str">
        <f t="shared" si="7"/>
        <v/>
      </c>
      <c r="Z43" s="113" t="str">
        <f t="shared" si="8"/>
        <v/>
      </c>
      <c r="AA43" s="113" t="str">
        <f t="shared" si="9"/>
        <v/>
      </c>
      <c r="AB43" s="113" t="str">
        <f t="shared" si="10"/>
        <v/>
      </c>
      <c r="AC43" s="113" t="str">
        <f t="shared" si="11"/>
        <v/>
      </c>
      <c r="AD43" s="113" t="str">
        <f t="shared" si="12"/>
        <v/>
      </c>
      <c r="AE43" s="113" t="str">
        <f t="shared" si="13"/>
        <v/>
      </c>
      <c r="AF43" s="113" t="str">
        <f t="shared" si="14"/>
        <v/>
      </c>
      <c r="AG43" s="113" t="str">
        <f t="shared" si="15"/>
        <v/>
      </c>
      <c r="AH43" s="113" t="str">
        <f t="shared" si="16"/>
        <v/>
      </c>
      <c r="AI43" s="113" t="str">
        <f t="shared" si="17"/>
        <v/>
      </c>
      <c r="AJ43" s="113" t="str">
        <f t="shared" si="18"/>
        <v/>
      </c>
      <c r="AK43" s="113" t="str">
        <f t="shared" si="19"/>
        <v/>
      </c>
      <c r="AL43" s="113" t="str">
        <f t="shared" si="20"/>
        <v/>
      </c>
      <c r="AM43" s="113" t="str">
        <f t="shared" si="21"/>
        <v/>
      </c>
      <c r="AN43" s="113" t="str">
        <f t="shared" si="174"/>
        <v/>
      </c>
      <c r="AO43" s="113" t="str">
        <f t="shared" si="175"/>
        <v/>
      </c>
      <c r="AP43" s="113" t="str">
        <f t="shared" si="176"/>
        <v/>
      </c>
      <c r="AQ43" s="113" t="str">
        <f t="shared" si="177"/>
        <v/>
      </c>
      <c r="AR43" s="113" t="str">
        <f t="shared" si="178"/>
        <v/>
      </c>
      <c r="AS43" s="113" t="str">
        <f t="shared" si="179"/>
        <v/>
      </c>
      <c r="AT43" s="113" t="str">
        <f t="shared" si="180"/>
        <v/>
      </c>
      <c r="AU43" s="113" t="str">
        <f t="shared" si="181"/>
        <v/>
      </c>
      <c r="AV43" s="113" t="str">
        <f t="shared" si="182"/>
        <v/>
      </c>
      <c r="AW43" s="113" t="str">
        <f t="shared" si="183"/>
        <v/>
      </c>
      <c r="AX43" s="113" t="str">
        <f t="shared" si="184"/>
        <v/>
      </c>
      <c r="AY43" s="113" t="str">
        <f t="shared" si="185"/>
        <v/>
      </c>
      <c r="AZ43" s="113" t="str">
        <f t="shared" si="186"/>
        <v/>
      </c>
      <c r="BA43" s="113" t="str">
        <f t="shared" si="187"/>
        <v/>
      </c>
      <c r="BB43" s="113" t="str">
        <f t="shared" si="188"/>
        <v/>
      </c>
      <c r="BC43" s="113" t="str">
        <f t="shared" si="189"/>
        <v/>
      </c>
      <c r="BD43" s="113" t="str">
        <f t="shared" si="190"/>
        <v/>
      </c>
      <c r="BE43" s="113" t="str">
        <f t="shared" si="191"/>
        <v/>
      </c>
      <c r="BF43" s="113" t="str">
        <f t="shared" si="192"/>
        <v/>
      </c>
      <c r="BG43" s="113" t="str">
        <f t="shared" si="193"/>
        <v/>
      </c>
      <c r="BH43" s="113" t="str">
        <f t="shared" si="194"/>
        <v/>
      </c>
      <c r="BI43" s="113" t="str">
        <f t="shared" si="195"/>
        <v/>
      </c>
      <c r="BJ43" s="113" t="str">
        <f t="shared" si="196"/>
        <v/>
      </c>
      <c r="BK43" s="113" t="str">
        <f t="shared" si="197"/>
        <v/>
      </c>
      <c r="BL43" s="113" t="str">
        <f t="shared" si="198"/>
        <v/>
      </c>
      <c r="BM43" s="113" t="str">
        <f t="shared" si="199"/>
        <v/>
      </c>
      <c r="BN43" s="113" t="str">
        <f t="shared" si="200"/>
        <v/>
      </c>
      <c r="BO43" s="113" t="str">
        <f t="shared" si="201"/>
        <v/>
      </c>
      <c r="BP43" s="113" t="str">
        <f t="shared" si="202"/>
        <v/>
      </c>
      <c r="BQ43" s="113" t="str">
        <f t="shared" si="203"/>
        <v/>
      </c>
      <c r="BR43" s="113" t="str">
        <f t="shared" si="22"/>
        <v/>
      </c>
      <c r="BS43" s="113" t="str">
        <f t="shared" si="23"/>
        <v/>
      </c>
      <c r="BT43" s="113" t="str">
        <f t="shared" si="24"/>
        <v/>
      </c>
      <c r="BU43" s="113" t="str">
        <f t="shared" si="25"/>
        <v/>
      </c>
      <c r="BV43" s="113" t="str">
        <f t="shared" si="26"/>
        <v/>
      </c>
      <c r="BW43" s="113" t="str">
        <f t="shared" si="27"/>
        <v/>
      </c>
      <c r="BX43" s="113" t="str">
        <f t="shared" si="28"/>
        <v/>
      </c>
      <c r="BY43" s="113" t="str">
        <f t="shared" si="29"/>
        <v/>
      </c>
      <c r="BZ43" s="113" t="str">
        <f t="shared" si="30"/>
        <v/>
      </c>
      <c r="CA43" s="113" t="str">
        <f t="shared" si="31"/>
        <v/>
      </c>
      <c r="CB43" s="113" t="str">
        <f t="shared" si="32"/>
        <v/>
      </c>
      <c r="CC43" s="113" t="str">
        <f t="shared" si="33"/>
        <v/>
      </c>
      <c r="CD43" s="113" t="str">
        <f t="shared" si="34"/>
        <v/>
      </c>
      <c r="CE43" s="113" t="str">
        <f t="shared" si="35"/>
        <v/>
      </c>
      <c r="CF43" s="113" t="str">
        <f t="shared" si="36"/>
        <v/>
      </c>
      <c r="CG43" s="113" t="str">
        <f t="shared" si="37"/>
        <v/>
      </c>
      <c r="CH43" s="113" t="str">
        <f t="shared" si="38"/>
        <v/>
      </c>
      <c r="CI43" s="113" t="str">
        <f t="shared" si="39"/>
        <v/>
      </c>
      <c r="CJ43" s="113" t="str">
        <f t="shared" si="40"/>
        <v/>
      </c>
      <c r="CK43" s="113" t="str">
        <f t="shared" si="41"/>
        <v/>
      </c>
      <c r="CL43" s="113" t="str">
        <f t="shared" si="42"/>
        <v/>
      </c>
      <c r="CM43" s="113" t="str">
        <f t="shared" si="43"/>
        <v/>
      </c>
      <c r="CN43" s="113" t="str">
        <f t="shared" si="44"/>
        <v/>
      </c>
      <c r="CO43" s="113" t="str">
        <f t="shared" si="45"/>
        <v/>
      </c>
      <c r="CP43" s="113" t="str">
        <f t="shared" si="46"/>
        <v/>
      </c>
      <c r="CQ43" s="113" t="str">
        <f t="shared" si="47"/>
        <v/>
      </c>
      <c r="CR43" s="113" t="str">
        <f t="shared" si="48"/>
        <v/>
      </c>
      <c r="CS43" s="113" t="str">
        <f t="shared" si="49"/>
        <v/>
      </c>
      <c r="CT43" s="113" t="str">
        <f t="shared" si="50"/>
        <v/>
      </c>
      <c r="CU43" s="113" t="str">
        <f t="shared" si="51"/>
        <v/>
      </c>
      <c r="CV43" s="113" t="str">
        <f t="shared" si="52"/>
        <v/>
      </c>
      <c r="CW43" s="113" t="str">
        <f t="shared" si="53"/>
        <v/>
      </c>
      <c r="CX43" s="113" t="str">
        <f t="shared" si="54"/>
        <v/>
      </c>
      <c r="CY43" s="113" t="str">
        <f t="shared" si="55"/>
        <v/>
      </c>
      <c r="CZ43" s="113" t="str">
        <f t="shared" si="56"/>
        <v/>
      </c>
      <c r="DA43" s="113" t="str">
        <f t="shared" si="57"/>
        <v/>
      </c>
      <c r="DB43" s="113" t="str">
        <f t="shared" si="58"/>
        <v/>
      </c>
      <c r="DC43" s="113" t="str">
        <f t="shared" si="59"/>
        <v/>
      </c>
      <c r="DD43" s="113" t="str">
        <f t="shared" si="60"/>
        <v/>
      </c>
      <c r="DE43" s="113" t="str">
        <f t="shared" si="61"/>
        <v/>
      </c>
      <c r="DF43" s="113" t="str">
        <f t="shared" si="62"/>
        <v/>
      </c>
      <c r="DG43" s="113" t="str">
        <f t="shared" si="63"/>
        <v/>
      </c>
      <c r="DH43" s="113" t="str">
        <f t="shared" si="64"/>
        <v/>
      </c>
      <c r="DI43" s="113" t="str">
        <f t="shared" si="65"/>
        <v/>
      </c>
      <c r="DJ43" s="113" t="str">
        <f t="shared" si="66"/>
        <v/>
      </c>
      <c r="DK43" s="113" t="str">
        <f t="shared" si="67"/>
        <v/>
      </c>
      <c r="DL43" s="113" t="str">
        <f t="shared" si="68"/>
        <v/>
      </c>
      <c r="DM43" s="113" t="str">
        <f t="shared" si="69"/>
        <v/>
      </c>
      <c r="DN43" s="113" t="str">
        <f t="shared" si="70"/>
        <v/>
      </c>
      <c r="DO43" s="113" t="str">
        <f t="shared" si="71"/>
        <v/>
      </c>
      <c r="DP43" s="113" t="str">
        <f t="shared" si="72"/>
        <v/>
      </c>
      <c r="DQ43" s="113" t="str">
        <f t="shared" si="73"/>
        <v/>
      </c>
      <c r="DR43" s="113" t="str">
        <f t="shared" si="74"/>
        <v/>
      </c>
      <c r="DS43" s="113" t="str">
        <f t="shared" si="75"/>
        <v/>
      </c>
      <c r="DT43" s="113" t="str">
        <f t="shared" si="76"/>
        <v/>
      </c>
      <c r="DU43" s="113" t="str">
        <f t="shared" si="77"/>
        <v/>
      </c>
      <c r="DV43" s="113" t="str">
        <f t="shared" si="78"/>
        <v/>
      </c>
      <c r="DW43" s="113" t="str">
        <f t="shared" si="79"/>
        <v/>
      </c>
      <c r="DX43" s="113" t="str">
        <f t="shared" si="80"/>
        <v/>
      </c>
      <c r="DY43" s="113" t="str">
        <f t="shared" si="81"/>
        <v/>
      </c>
      <c r="DZ43" s="113" t="str">
        <f t="shared" si="82"/>
        <v/>
      </c>
      <c r="EA43" s="113" t="str">
        <f t="shared" si="83"/>
        <v/>
      </c>
      <c r="EB43" s="113" t="str">
        <f t="shared" si="84"/>
        <v/>
      </c>
      <c r="EC43" s="113" t="str">
        <f t="shared" si="85"/>
        <v/>
      </c>
      <c r="ED43" s="113" t="str">
        <f t="shared" si="86"/>
        <v/>
      </c>
      <c r="EE43" s="113" t="str">
        <f t="shared" si="87"/>
        <v/>
      </c>
      <c r="EF43" s="113" t="str">
        <f t="shared" si="88"/>
        <v/>
      </c>
      <c r="EG43" s="113" t="str">
        <f t="shared" si="89"/>
        <v/>
      </c>
      <c r="EH43" s="113" t="str">
        <f t="shared" si="90"/>
        <v/>
      </c>
      <c r="EI43" s="113" t="str">
        <f t="shared" si="91"/>
        <v/>
      </c>
      <c r="EJ43" s="113" t="str">
        <f t="shared" si="92"/>
        <v/>
      </c>
      <c r="EK43" s="113" t="str">
        <f t="shared" si="93"/>
        <v/>
      </c>
      <c r="EL43" s="113" t="str">
        <f t="shared" si="94"/>
        <v/>
      </c>
      <c r="EM43" s="113" t="str">
        <f t="shared" si="95"/>
        <v/>
      </c>
      <c r="EN43" s="113" t="str">
        <f t="shared" si="96"/>
        <v/>
      </c>
      <c r="EO43" s="113" t="str">
        <f t="shared" si="97"/>
        <v/>
      </c>
      <c r="EP43" s="113" t="str">
        <f t="shared" si="98"/>
        <v/>
      </c>
      <c r="EQ43" s="113" t="str">
        <f t="shared" si="99"/>
        <v/>
      </c>
      <c r="ER43" s="113" t="str">
        <f t="shared" si="100"/>
        <v/>
      </c>
      <c r="ES43" s="113" t="str">
        <f t="shared" si="101"/>
        <v/>
      </c>
      <c r="ET43" s="660" t="str">
        <f t="shared" si="102"/>
        <v/>
      </c>
      <c r="EU43" s="660" t="str">
        <f t="shared" si="103"/>
        <v/>
      </c>
      <c r="EV43" s="660" t="str">
        <f t="shared" si="104"/>
        <v/>
      </c>
      <c r="EW43" s="660" t="str">
        <f t="shared" si="105"/>
        <v/>
      </c>
      <c r="EX43" s="660" t="str">
        <f t="shared" si="106"/>
        <v/>
      </c>
      <c r="EY43" s="660" t="str">
        <f t="shared" si="107"/>
        <v/>
      </c>
      <c r="EZ43" s="660" t="str">
        <f t="shared" si="108"/>
        <v/>
      </c>
      <c r="FA43" s="660" t="str">
        <f t="shared" si="109"/>
        <v/>
      </c>
      <c r="FB43" s="660" t="str">
        <f t="shared" si="110"/>
        <v/>
      </c>
      <c r="FC43" s="660" t="str">
        <f t="shared" si="111"/>
        <v/>
      </c>
      <c r="FD43" s="660" t="str">
        <f t="shared" si="112"/>
        <v/>
      </c>
      <c r="FE43" s="660" t="str">
        <f t="shared" si="113"/>
        <v/>
      </c>
      <c r="FF43" s="660" t="str">
        <f t="shared" si="114"/>
        <v/>
      </c>
      <c r="FG43" s="660" t="str">
        <f t="shared" si="115"/>
        <v/>
      </c>
      <c r="FH43" s="660" t="str">
        <f t="shared" si="116"/>
        <v/>
      </c>
      <c r="FI43" s="660" t="str">
        <f t="shared" si="117"/>
        <v/>
      </c>
      <c r="FJ43" s="660" t="str">
        <f t="shared" si="118"/>
        <v/>
      </c>
      <c r="FK43" s="660" t="str">
        <f t="shared" si="119"/>
        <v/>
      </c>
      <c r="FL43" s="660" t="str">
        <f t="shared" si="120"/>
        <v/>
      </c>
      <c r="FM43" s="660" t="str">
        <f t="shared" si="121"/>
        <v/>
      </c>
      <c r="FN43" s="660" t="str">
        <f t="shared" si="122"/>
        <v/>
      </c>
      <c r="FO43" s="660" t="str">
        <f t="shared" si="123"/>
        <v/>
      </c>
      <c r="FP43" s="660" t="str">
        <f t="shared" si="124"/>
        <v/>
      </c>
      <c r="FQ43" s="660" t="str">
        <f t="shared" si="125"/>
        <v/>
      </c>
      <c r="FR43" s="660" t="str">
        <f t="shared" si="126"/>
        <v/>
      </c>
      <c r="FS43" s="660" t="str">
        <f t="shared" si="127"/>
        <v/>
      </c>
      <c r="FT43" s="660" t="str">
        <f t="shared" si="128"/>
        <v/>
      </c>
      <c r="FU43" s="660" t="str">
        <f t="shared" si="129"/>
        <v/>
      </c>
      <c r="FV43" s="660" t="str">
        <f t="shared" si="130"/>
        <v/>
      </c>
      <c r="FW43" s="660" t="str">
        <f t="shared" si="131"/>
        <v/>
      </c>
      <c r="FX43" s="660" t="str">
        <f t="shared" si="132"/>
        <v/>
      </c>
      <c r="FY43" s="660" t="str">
        <f t="shared" si="133"/>
        <v/>
      </c>
      <c r="FZ43" s="660" t="str">
        <f t="shared" si="134"/>
        <v/>
      </c>
      <c r="GA43" s="660" t="str">
        <f t="shared" si="135"/>
        <v/>
      </c>
      <c r="GB43" s="660" t="str">
        <f t="shared" si="136"/>
        <v/>
      </c>
      <c r="GC43" s="660" t="str">
        <f t="shared" si="137"/>
        <v/>
      </c>
      <c r="GD43" s="660" t="str">
        <f t="shared" si="138"/>
        <v/>
      </c>
      <c r="GE43" s="660" t="str">
        <f t="shared" si="139"/>
        <v/>
      </c>
      <c r="GF43" s="660" t="str">
        <f t="shared" si="140"/>
        <v/>
      </c>
      <c r="GG43" s="660" t="str">
        <f t="shared" si="141"/>
        <v/>
      </c>
      <c r="GH43" s="660" t="str">
        <f t="shared" si="142"/>
        <v/>
      </c>
      <c r="GI43" s="660" t="str">
        <f t="shared" si="143"/>
        <v/>
      </c>
      <c r="GJ43" s="660" t="str">
        <f t="shared" si="144"/>
        <v/>
      </c>
      <c r="GK43" s="660" t="str">
        <f t="shared" si="145"/>
        <v/>
      </c>
      <c r="GL43" s="660" t="str">
        <f t="shared" si="146"/>
        <v/>
      </c>
      <c r="GM43" s="661" t="str">
        <f t="shared" si="147"/>
        <v/>
      </c>
      <c r="GN43" s="661" t="str">
        <f t="shared" si="148"/>
        <v/>
      </c>
      <c r="GO43" s="661" t="str">
        <f t="shared" si="149"/>
        <v/>
      </c>
      <c r="GP43" s="661" t="str">
        <f t="shared" si="150"/>
        <v/>
      </c>
      <c r="GQ43" s="661" t="str">
        <f t="shared" si="151"/>
        <v/>
      </c>
      <c r="GR43" s="113" t="str">
        <f t="shared" si="152"/>
        <v/>
      </c>
      <c r="GS43" s="113" t="str">
        <f t="shared" si="153"/>
        <v/>
      </c>
      <c r="GT43" s="113" t="str">
        <f t="shared" si="154"/>
        <v/>
      </c>
      <c r="GU43" s="113" t="str">
        <f t="shared" si="155"/>
        <v/>
      </c>
      <c r="GV43" s="113" t="str">
        <f t="shared" si="156"/>
        <v/>
      </c>
      <c r="GW43" s="113" t="str">
        <f t="shared" si="157"/>
        <v/>
      </c>
      <c r="GX43" s="113" t="str">
        <f t="shared" si="158"/>
        <v/>
      </c>
      <c r="GY43" s="113" t="str">
        <f t="shared" si="159"/>
        <v/>
      </c>
      <c r="GZ43" s="113" t="str">
        <f t="shared" si="160"/>
        <v/>
      </c>
      <c r="HA43" s="113" t="str">
        <f t="shared" si="161"/>
        <v/>
      </c>
      <c r="HB43" s="113" t="str">
        <f t="shared" si="162"/>
        <v/>
      </c>
      <c r="HC43" s="113" t="str">
        <f t="shared" si="163"/>
        <v/>
      </c>
      <c r="HD43" s="113" t="str">
        <f t="shared" si="164"/>
        <v/>
      </c>
      <c r="HE43" s="113" t="str">
        <f t="shared" si="165"/>
        <v/>
      </c>
      <c r="HF43" s="113" t="str">
        <f t="shared" si="166"/>
        <v/>
      </c>
      <c r="HG43" s="113" t="str">
        <f t="shared" si="167"/>
        <v/>
      </c>
      <c r="HH43" s="113" t="str">
        <f t="shared" si="168"/>
        <v/>
      </c>
      <c r="HI43" s="113" t="str">
        <f t="shared" si="169"/>
        <v/>
      </c>
      <c r="HJ43" s="113" t="str">
        <f t="shared" si="170"/>
        <v/>
      </c>
      <c r="HK43" s="113" t="str">
        <f t="shared" si="171"/>
        <v/>
      </c>
    </row>
    <row r="44" spans="1:219" ht="13.2" customHeight="1">
      <c r="A44" s="146" t="str">
        <f t="shared" si="172"/>
        <v/>
      </c>
      <c r="B44" s="836"/>
      <c r="C44" s="837"/>
      <c r="D44" s="838"/>
      <c r="E44" s="839"/>
      <c r="F44" s="839"/>
      <c r="G44" s="839"/>
      <c r="H44" s="839"/>
      <c r="I44" s="839"/>
      <c r="J44" s="840"/>
      <c r="K44" s="227">
        <f t="shared" si="409"/>
        <v>0</v>
      </c>
      <c r="L44" s="227">
        <f t="shared" si="0"/>
        <v>0</v>
      </c>
      <c r="M44" s="841"/>
      <c r="N44" s="841"/>
      <c r="O44" s="841"/>
      <c r="P44" s="581" t="str">
        <f t="shared" si="407"/>
        <v/>
      </c>
      <c r="Q44" s="582" t="str">
        <f>IF(H44="","",P44/($P$6*VLOOKUP(C44,'DCA Underwriting Assumptions'!$J$77:$K$82,2,FALSE)))</f>
        <v/>
      </c>
      <c r="R44" s="739"/>
      <c r="S44" s="659"/>
      <c r="T44" s="113" t="str">
        <f t="shared" si="2"/>
        <v/>
      </c>
      <c r="U44" s="113" t="str">
        <f t="shared" si="3"/>
        <v/>
      </c>
      <c r="V44" s="113" t="str">
        <f t="shared" si="4"/>
        <v/>
      </c>
      <c r="W44" s="113" t="str">
        <f t="shared" si="5"/>
        <v/>
      </c>
      <c r="X44" s="113" t="str">
        <f t="shared" si="6"/>
        <v/>
      </c>
      <c r="Y44" s="113" t="str">
        <f t="shared" si="7"/>
        <v/>
      </c>
      <c r="Z44" s="113" t="str">
        <f t="shared" si="8"/>
        <v/>
      </c>
      <c r="AA44" s="113" t="str">
        <f t="shared" si="9"/>
        <v/>
      </c>
      <c r="AB44" s="113" t="str">
        <f t="shared" si="10"/>
        <v/>
      </c>
      <c r="AC44" s="113" t="str">
        <f t="shared" si="11"/>
        <v/>
      </c>
      <c r="AD44" s="113" t="str">
        <f t="shared" si="12"/>
        <v/>
      </c>
      <c r="AE44" s="113" t="str">
        <f t="shared" si="13"/>
        <v/>
      </c>
      <c r="AF44" s="113" t="str">
        <f t="shared" si="14"/>
        <v/>
      </c>
      <c r="AG44" s="113" t="str">
        <f t="shared" si="15"/>
        <v/>
      </c>
      <c r="AH44" s="113" t="str">
        <f t="shared" si="16"/>
        <v/>
      </c>
      <c r="AI44" s="113" t="str">
        <f t="shared" si="17"/>
        <v/>
      </c>
      <c r="AJ44" s="113" t="str">
        <f t="shared" si="18"/>
        <v/>
      </c>
      <c r="AK44" s="113" t="str">
        <f t="shared" si="19"/>
        <v/>
      </c>
      <c r="AL44" s="113" t="str">
        <f t="shared" si="20"/>
        <v/>
      </c>
      <c r="AM44" s="113" t="str">
        <f t="shared" si="21"/>
        <v/>
      </c>
      <c r="AN44" s="113" t="str">
        <f t="shared" si="174"/>
        <v/>
      </c>
      <c r="AO44" s="113" t="str">
        <f t="shared" si="175"/>
        <v/>
      </c>
      <c r="AP44" s="113" t="str">
        <f t="shared" si="176"/>
        <v/>
      </c>
      <c r="AQ44" s="113" t="str">
        <f t="shared" si="177"/>
        <v/>
      </c>
      <c r="AR44" s="113" t="str">
        <f t="shared" si="178"/>
        <v/>
      </c>
      <c r="AS44" s="113" t="str">
        <f t="shared" si="179"/>
        <v/>
      </c>
      <c r="AT44" s="113" t="str">
        <f t="shared" si="180"/>
        <v/>
      </c>
      <c r="AU44" s="113" t="str">
        <f t="shared" si="181"/>
        <v/>
      </c>
      <c r="AV44" s="113" t="str">
        <f t="shared" si="182"/>
        <v/>
      </c>
      <c r="AW44" s="113" t="str">
        <f t="shared" si="183"/>
        <v/>
      </c>
      <c r="AX44" s="113" t="str">
        <f t="shared" si="184"/>
        <v/>
      </c>
      <c r="AY44" s="113" t="str">
        <f t="shared" si="185"/>
        <v/>
      </c>
      <c r="AZ44" s="113" t="str">
        <f t="shared" si="186"/>
        <v/>
      </c>
      <c r="BA44" s="113" t="str">
        <f t="shared" si="187"/>
        <v/>
      </c>
      <c r="BB44" s="113" t="str">
        <f t="shared" si="188"/>
        <v/>
      </c>
      <c r="BC44" s="113" t="str">
        <f t="shared" si="189"/>
        <v/>
      </c>
      <c r="BD44" s="113" t="str">
        <f t="shared" si="190"/>
        <v/>
      </c>
      <c r="BE44" s="113" t="str">
        <f t="shared" si="191"/>
        <v/>
      </c>
      <c r="BF44" s="113" t="str">
        <f t="shared" si="192"/>
        <v/>
      </c>
      <c r="BG44" s="113" t="str">
        <f t="shared" si="193"/>
        <v/>
      </c>
      <c r="BH44" s="113" t="str">
        <f t="shared" si="194"/>
        <v/>
      </c>
      <c r="BI44" s="113" t="str">
        <f t="shared" si="195"/>
        <v/>
      </c>
      <c r="BJ44" s="113" t="str">
        <f t="shared" si="196"/>
        <v/>
      </c>
      <c r="BK44" s="113" t="str">
        <f t="shared" si="197"/>
        <v/>
      </c>
      <c r="BL44" s="113" t="str">
        <f t="shared" si="198"/>
        <v/>
      </c>
      <c r="BM44" s="113" t="str">
        <f t="shared" si="199"/>
        <v/>
      </c>
      <c r="BN44" s="113" t="str">
        <f t="shared" si="200"/>
        <v/>
      </c>
      <c r="BO44" s="113" t="str">
        <f t="shared" si="201"/>
        <v/>
      </c>
      <c r="BP44" s="113" t="str">
        <f t="shared" si="202"/>
        <v/>
      </c>
      <c r="BQ44" s="113" t="str">
        <f t="shared" si="203"/>
        <v/>
      </c>
      <c r="BR44" s="113" t="str">
        <f t="shared" si="22"/>
        <v/>
      </c>
      <c r="BS44" s="113" t="str">
        <f t="shared" si="23"/>
        <v/>
      </c>
      <c r="BT44" s="113" t="str">
        <f t="shared" si="24"/>
        <v/>
      </c>
      <c r="BU44" s="113" t="str">
        <f t="shared" si="25"/>
        <v/>
      </c>
      <c r="BV44" s="113" t="str">
        <f t="shared" si="26"/>
        <v/>
      </c>
      <c r="BW44" s="113" t="str">
        <f t="shared" si="27"/>
        <v/>
      </c>
      <c r="BX44" s="113" t="str">
        <f t="shared" si="28"/>
        <v/>
      </c>
      <c r="BY44" s="113" t="str">
        <f t="shared" si="29"/>
        <v/>
      </c>
      <c r="BZ44" s="113" t="str">
        <f t="shared" si="30"/>
        <v/>
      </c>
      <c r="CA44" s="113" t="str">
        <f t="shared" si="31"/>
        <v/>
      </c>
      <c r="CB44" s="113" t="str">
        <f t="shared" si="32"/>
        <v/>
      </c>
      <c r="CC44" s="113" t="str">
        <f t="shared" si="33"/>
        <v/>
      </c>
      <c r="CD44" s="113" t="str">
        <f t="shared" si="34"/>
        <v/>
      </c>
      <c r="CE44" s="113" t="str">
        <f t="shared" si="35"/>
        <v/>
      </c>
      <c r="CF44" s="113" t="str">
        <f t="shared" si="36"/>
        <v/>
      </c>
      <c r="CG44" s="113" t="str">
        <f t="shared" si="37"/>
        <v/>
      </c>
      <c r="CH44" s="113" t="str">
        <f t="shared" si="38"/>
        <v/>
      </c>
      <c r="CI44" s="113" t="str">
        <f t="shared" si="39"/>
        <v/>
      </c>
      <c r="CJ44" s="113" t="str">
        <f t="shared" si="40"/>
        <v/>
      </c>
      <c r="CK44" s="113" t="str">
        <f t="shared" si="41"/>
        <v/>
      </c>
      <c r="CL44" s="113" t="str">
        <f t="shared" si="42"/>
        <v/>
      </c>
      <c r="CM44" s="113" t="str">
        <f t="shared" si="43"/>
        <v/>
      </c>
      <c r="CN44" s="113" t="str">
        <f t="shared" si="44"/>
        <v/>
      </c>
      <c r="CO44" s="113" t="str">
        <f t="shared" si="45"/>
        <v/>
      </c>
      <c r="CP44" s="113" t="str">
        <f t="shared" si="46"/>
        <v/>
      </c>
      <c r="CQ44" s="113" t="str">
        <f t="shared" si="47"/>
        <v/>
      </c>
      <c r="CR44" s="113" t="str">
        <f t="shared" si="48"/>
        <v/>
      </c>
      <c r="CS44" s="113" t="str">
        <f t="shared" si="49"/>
        <v/>
      </c>
      <c r="CT44" s="113" t="str">
        <f t="shared" si="50"/>
        <v/>
      </c>
      <c r="CU44" s="113" t="str">
        <f t="shared" si="51"/>
        <v/>
      </c>
      <c r="CV44" s="113" t="str">
        <f t="shared" si="52"/>
        <v/>
      </c>
      <c r="CW44" s="113" t="str">
        <f t="shared" si="53"/>
        <v/>
      </c>
      <c r="CX44" s="113" t="str">
        <f t="shared" si="54"/>
        <v/>
      </c>
      <c r="CY44" s="113" t="str">
        <f t="shared" si="55"/>
        <v/>
      </c>
      <c r="CZ44" s="113" t="str">
        <f t="shared" si="56"/>
        <v/>
      </c>
      <c r="DA44" s="113" t="str">
        <f t="shared" si="57"/>
        <v/>
      </c>
      <c r="DB44" s="113" t="str">
        <f t="shared" si="58"/>
        <v/>
      </c>
      <c r="DC44" s="113" t="str">
        <f t="shared" si="59"/>
        <v/>
      </c>
      <c r="DD44" s="113" t="str">
        <f t="shared" si="60"/>
        <v/>
      </c>
      <c r="DE44" s="113" t="str">
        <f t="shared" si="61"/>
        <v/>
      </c>
      <c r="DF44" s="113" t="str">
        <f t="shared" si="62"/>
        <v/>
      </c>
      <c r="DG44" s="113" t="str">
        <f t="shared" si="63"/>
        <v/>
      </c>
      <c r="DH44" s="113" t="str">
        <f t="shared" si="64"/>
        <v/>
      </c>
      <c r="DI44" s="113" t="str">
        <f t="shared" si="65"/>
        <v/>
      </c>
      <c r="DJ44" s="113" t="str">
        <f t="shared" si="66"/>
        <v/>
      </c>
      <c r="DK44" s="113" t="str">
        <f t="shared" si="67"/>
        <v/>
      </c>
      <c r="DL44" s="113" t="str">
        <f t="shared" si="68"/>
        <v/>
      </c>
      <c r="DM44" s="113" t="str">
        <f t="shared" si="69"/>
        <v/>
      </c>
      <c r="DN44" s="113" t="str">
        <f t="shared" si="70"/>
        <v/>
      </c>
      <c r="DO44" s="113" t="str">
        <f t="shared" si="71"/>
        <v/>
      </c>
      <c r="DP44" s="113" t="str">
        <f t="shared" si="72"/>
        <v/>
      </c>
      <c r="DQ44" s="113" t="str">
        <f t="shared" si="73"/>
        <v/>
      </c>
      <c r="DR44" s="113" t="str">
        <f t="shared" si="74"/>
        <v/>
      </c>
      <c r="DS44" s="113" t="str">
        <f t="shared" si="75"/>
        <v/>
      </c>
      <c r="DT44" s="113" t="str">
        <f t="shared" si="76"/>
        <v/>
      </c>
      <c r="DU44" s="113" t="str">
        <f t="shared" si="77"/>
        <v/>
      </c>
      <c r="DV44" s="113" t="str">
        <f t="shared" si="78"/>
        <v/>
      </c>
      <c r="DW44" s="113" t="str">
        <f t="shared" si="79"/>
        <v/>
      </c>
      <c r="DX44" s="113" t="str">
        <f t="shared" si="80"/>
        <v/>
      </c>
      <c r="DY44" s="113" t="str">
        <f t="shared" si="81"/>
        <v/>
      </c>
      <c r="DZ44" s="113" t="str">
        <f t="shared" si="82"/>
        <v/>
      </c>
      <c r="EA44" s="113" t="str">
        <f t="shared" si="83"/>
        <v/>
      </c>
      <c r="EB44" s="113" t="str">
        <f t="shared" si="84"/>
        <v/>
      </c>
      <c r="EC44" s="113" t="str">
        <f t="shared" si="85"/>
        <v/>
      </c>
      <c r="ED44" s="113" t="str">
        <f t="shared" si="86"/>
        <v/>
      </c>
      <c r="EE44" s="113" t="str">
        <f t="shared" si="87"/>
        <v/>
      </c>
      <c r="EF44" s="113" t="str">
        <f t="shared" si="88"/>
        <v/>
      </c>
      <c r="EG44" s="113" t="str">
        <f t="shared" si="89"/>
        <v/>
      </c>
      <c r="EH44" s="113" t="str">
        <f t="shared" si="90"/>
        <v/>
      </c>
      <c r="EI44" s="113" t="str">
        <f t="shared" si="91"/>
        <v/>
      </c>
      <c r="EJ44" s="113" t="str">
        <f t="shared" si="92"/>
        <v/>
      </c>
      <c r="EK44" s="113" t="str">
        <f t="shared" si="93"/>
        <v/>
      </c>
      <c r="EL44" s="113" t="str">
        <f t="shared" si="94"/>
        <v/>
      </c>
      <c r="EM44" s="113" t="str">
        <f t="shared" si="95"/>
        <v/>
      </c>
      <c r="EN44" s="113" t="str">
        <f t="shared" si="96"/>
        <v/>
      </c>
      <c r="EO44" s="113" t="str">
        <f t="shared" si="97"/>
        <v/>
      </c>
      <c r="EP44" s="113" t="str">
        <f t="shared" si="98"/>
        <v/>
      </c>
      <c r="EQ44" s="113" t="str">
        <f t="shared" si="99"/>
        <v/>
      </c>
      <c r="ER44" s="113" t="str">
        <f t="shared" si="100"/>
        <v/>
      </c>
      <c r="ES44" s="113" t="str">
        <f t="shared" si="101"/>
        <v/>
      </c>
      <c r="ET44" s="660" t="str">
        <f t="shared" si="102"/>
        <v/>
      </c>
      <c r="EU44" s="660" t="str">
        <f t="shared" si="103"/>
        <v/>
      </c>
      <c r="EV44" s="660" t="str">
        <f t="shared" si="104"/>
        <v/>
      </c>
      <c r="EW44" s="660" t="str">
        <f t="shared" si="105"/>
        <v/>
      </c>
      <c r="EX44" s="660" t="str">
        <f t="shared" si="106"/>
        <v/>
      </c>
      <c r="EY44" s="660" t="str">
        <f t="shared" si="107"/>
        <v/>
      </c>
      <c r="EZ44" s="660" t="str">
        <f t="shared" si="108"/>
        <v/>
      </c>
      <c r="FA44" s="660" t="str">
        <f t="shared" si="109"/>
        <v/>
      </c>
      <c r="FB44" s="660" t="str">
        <f t="shared" si="110"/>
        <v/>
      </c>
      <c r="FC44" s="660" t="str">
        <f t="shared" si="111"/>
        <v/>
      </c>
      <c r="FD44" s="660" t="str">
        <f t="shared" si="112"/>
        <v/>
      </c>
      <c r="FE44" s="660" t="str">
        <f t="shared" si="113"/>
        <v/>
      </c>
      <c r="FF44" s="660" t="str">
        <f t="shared" si="114"/>
        <v/>
      </c>
      <c r="FG44" s="660" t="str">
        <f t="shared" si="115"/>
        <v/>
      </c>
      <c r="FH44" s="660" t="str">
        <f t="shared" si="116"/>
        <v/>
      </c>
      <c r="FI44" s="660" t="str">
        <f t="shared" si="117"/>
        <v/>
      </c>
      <c r="FJ44" s="660" t="str">
        <f t="shared" si="118"/>
        <v/>
      </c>
      <c r="FK44" s="660" t="str">
        <f t="shared" si="119"/>
        <v/>
      </c>
      <c r="FL44" s="660" t="str">
        <f t="shared" si="120"/>
        <v/>
      </c>
      <c r="FM44" s="660" t="str">
        <f t="shared" si="121"/>
        <v/>
      </c>
      <c r="FN44" s="660" t="str">
        <f t="shared" si="122"/>
        <v/>
      </c>
      <c r="FO44" s="660" t="str">
        <f t="shared" si="123"/>
        <v/>
      </c>
      <c r="FP44" s="660" t="str">
        <f t="shared" si="124"/>
        <v/>
      </c>
      <c r="FQ44" s="660" t="str">
        <f t="shared" si="125"/>
        <v/>
      </c>
      <c r="FR44" s="660" t="str">
        <f t="shared" si="126"/>
        <v/>
      </c>
      <c r="FS44" s="660" t="str">
        <f t="shared" si="127"/>
        <v/>
      </c>
      <c r="FT44" s="660" t="str">
        <f t="shared" si="128"/>
        <v/>
      </c>
      <c r="FU44" s="660" t="str">
        <f t="shared" si="129"/>
        <v/>
      </c>
      <c r="FV44" s="660" t="str">
        <f t="shared" si="130"/>
        <v/>
      </c>
      <c r="FW44" s="660" t="str">
        <f t="shared" si="131"/>
        <v/>
      </c>
      <c r="FX44" s="660" t="str">
        <f t="shared" si="132"/>
        <v/>
      </c>
      <c r="FY44" s="660" t="str">
        <f t="shared" si="133"/>
        <v/>
      </c>
      <c r="FZ44" s="660" t="str">
        <f t="shared" si="134"/>
        <v/>
      </c>
      <c r="GA44" s="660" t="str">
        <f t="shared" si="135"/>
        <v/>
      </c>
      <c r="GB44" s="660" t="str">
        <f t="shared" si="136"/>
        <v/>
      </c>
      <c r="GC44" s="660" t="str">
        <f t="shared" si="137"/>
        <v/>
      </c>
      <c r="GD44" s="660" t="str">
        <f t="shared" si="138"/>
        <v/>
      </c>
      <c r="GE44" s="660" t="str">
        <f t="shared" si="139"/>
        <v/>
      </c>
      <c r="GF44" s="660" t="str">
        <f t="shared" si="140"/>
        <v/>
      </c>
      <c r="GG44" s="660" t="str">
        <f t="shared" si="141"/>
        <v/>
      </c>
      <c r="GH44" s="660" t="str">
        <f t="shared" si="142"/>
        <v/>
      </c>
      <c r="GI44" s="660" t="str">
        <f t="shared" si="143"/>
        <v/>
      </c>
      <c r="GJ44" s="660" t="str">
        <f t="shared" si="144"/>
        <v/>
      </c>
      <c r="GK44" s="660" t="str">
        <f t="shared" si="145"/>
        <v/>
      </c>
      <c r="GL44" s="660" t="str">
        <f t="shared" si="146"/>
        <v/>
      </c>
      <c r="GM44" s="661" t="str">
        <f t="shared" si="147"/>
        <v/>
      </c>
      <c r="GN44" s="661" t="str">
        <f t="shared" si="148"/>
        <v/>
      </c>
      <c r="GO44" s="661" t="str">
        <f t="shared" si="149"/>
        <v/>
      </c>
      <c r="GP44" s="661" t="str">
        <f t="shared" si="150"/>
        <v/>
      </c>
      <c r="GQ44" s="661" t="str">
        <f t="shared" si="151"/>
        <v/>
      </c>
      <c r="GR44" s="113" t="str">
        <f t="shared" si="152"/>
        <v/>
      </c>
      <c r="GS44" s="113" t="str">
        <f t="shared" si="153"/>
        <v/>
      </c>
      <c r="GT44" s="113" t="str">
        <f t="shared" si="154"/>
        <v/>
      </c>
      <c r="GU44" s="113" t="str">
        <f t="shared" si="155"/>
        <v/>
      </c>
      <c r="GV44" s="113" t="str">
        <f t="shared" si="156"/>
        <v/>
      </c>
      <c r="GW44" s="113" t="str">
        <f t="shared" si="157"/>
        <v/>
      </c>
      <c r="GX44" s="113" t="str">
        <f t="shared" si="158"/>
        <v/>
      </c>
      <c r="GY44" s="113" t="str">
        <f t="shared" si="159"/>
        <v/>
      </c>
      <c r="GZ44" s="113" t="str">
        <f t="shared" si="160"/>
        <v/>
      </c>
      <c r="HA44" s="113" t="str">
        <f t="shared" si="161"/>
        <v/>
      </c>
      <c r="HB44" s="113" t="str">
        <f t="shared" si="162"/>
        <v/>
      </c>
      <c r="HC44" s="113" t="str">
        <f t="shared" si="163"/>
        <v/>
      </c>
      <c r="HD44" s="113" t="str">
        <f t="shared" si="164"/>
        <v/>
      </c>
      <c r="HE44" s="113" t="str">
        <f t="shared" si="165"/>
        <v/>
      </c>
      <c r="HF44" s="113" t="str">
        <f t="shared" si="166"/>
        <v/>
      </c>
      <c r="HG44" s="113" t="str">
        <f t="shared" si="167"/>
        <v/>
      </c>
      <c r="HH44" s="113" t="str">
        <f t="shared" si="168"/>
        <v/>
      </c>
      <c r="HI44" s="113" t="str">
        <f t="shared" si="169"/>
        <v/>
      </c>
      <c r="HJ44" s="113" t="str">
        <f t="shared" si="170"/>
        <v/>
      </c>
      <c r="HK44" s="113" t="str">
        <f t="shared" si="171"/>
        <v/>
      </c>
    </row>
    <row r="45" spans="1:219" ht="13.2" customHeight="1">
      <c r="A45" s="146" t="str">
        <f t="shared" si="172"/>
        <v/>
      </c>
      <c r="B45" s="836"/>
      <c r="C45" s="837"/>
      <c r="D45" s="838"/>
      <c r="E45" s="839"/>
      <c r="F45" s="839"/>
      <c r="G45" s="839"/>
      <c r="H45" s="839"/>
      <c r="I45" s="839"/>
      <c r="J45" s="840"/>
      <c r="K45" s="227">
        <f t="shared" si="409"/>
        <v>0</v>
      </c>
      <c r="L45" s="227">
        <f t="shared" si="0"/>
        <v>0</v>
      </c>
      <c r="M45" s="841"/>
      <c r="N45" s="841"/>
      <c r="O45" s="841"/>
      <c r="P45" s="581" t="str">
        <f t="shared" si="407"/>
        <v/>
      </c>
      <c r="Q45" s="582" t="str">
        <f>IF(H45="","",P45/($P$6*VLOOKUP(C45,'DCA Underwriting Assumptions'!$J$77:$K$82,2,FALSE)))</f>
        <v/>
      </c>
      <c r="R45" s="739"/>
      <c r="S45" s="659"/>
      <c r="T45" s="113" t="str">
        <f t="shared" si="2"/>
        <v/>
      </c>
      <c r="U45" s="113" t="str">
        <f t="shared" si="3"/>
        <v/>
      </c>
      <c r="V45" s="113" t="str">
        <f t="shared" si="4"/>
        <v/>
      </c>
      <c r="W45" s="113" t="str">
        <f t="shared" si="5"/>
        <v/>
      </c>
      <c r="X45" s="113" t="str">
        <f t="shared" si="6"/>
        <v/>
      </c>
      <c r="Y45" s="113" t="str">
        <f t="shared" si="7"/>
        <v/>
      </c>
      <c r="Z45" s="113" t="str">
        <f t="shared" si="8"/>
        <v/>
      </c>
      <c r="AA45" s="113" t="str">
        <f t="shared" si="9"/>
        <v/>
      </c>
      <c r="AB45" s="113" t="str">
        <f t="shared" si="10"/>
        <v/>
      </c>
      <c r="AC45" s="113" t="str">
        <f t="shared" si="11"/>
        <v/>
      </c>
      <c r="AD45" s="113" t="str">
        <f t="shared" si="12"/>
        <v/>
      </c>
      <c r="AE45" s="113" t="str">
        <f t="shared" si="13"/>
        <v/>
      </c>
      <c r="AF45" s="113" t="str">
        <f t="shared" si="14"/>
        <v/>
      </c>
      <c r="AG45" s="113" t="str">
        <f t="shared" si="15"/>
        <v/>
      </c>
      <c r="AH45" s="113" t="str">
        <f t="shared" si="16"/>
        <v/>
      </c>
      <c r="AI45" s="113" t="str">
        <f t="shared" si="17"/>
        <v/>
      </c>
      <c r="AJ45" s="113" t="str">
        <f t="shared" si="18"/>
        <v/>
      </c>
      <c r="AK45" s="113" t="str">
        <f t="shared" si="19"/>
        <v/>
      </c>
      <c r="AL45" s="113" t="str">
        <f t="shared" si="20"/>
        <v/>
      </c>
      <c r="AM45" s="113" t="str">
        <f t="shared" si="21"/>
        <v/>
      </c>
      <c r="AN45" s="113" t="str">
        <f t="shared" si="174"/>
        <v/>
      </c>
      <c r="AO45" s="113" t="str">
        <f t="shared" si="175"/>
        <v/>
      </c>
      <c r="AP45" s="113" t="str">
        <f t="shared" si="176"/>
        <v/>
      </c>
      <c r="AQ45" s="113" t="str">
        <f t="shared" si="177"/>
        <v/>
      </c>
      <c r="AR45" s="113" t="str">
        <f t="shared" si="178"/>
        <v/>
      </c>
      <c r="AS45" s="113" t="str">
        <f t="shared" si="179"/>
        <v/>
      </c>
      <c r="AT45" s="113" t="str">
        <f t="shared" si="180"/>
        <v/>
      </c>
      <c r="AU45" s="113" t="str">
        <f t="shared" si="181"/>
        <v/>
      </c>
      <c r="AV45" s="113" t="str">
        <f t="shared" si="182"/>
        <v/>
      </c>
      <c r="AW45" s="113" t="str">
        <f t="shared" si="183"/>
        <v/>
      </c>
      <c r="AX45" s="113" t="str">
        <f t="shared" si="184"/>
        <v/>
      </c>
      <c r="AY45" s="113" t="str">
        <f t="shared" si="185"/>
        <v/>
      </c>
      <c r="AZ45" s="113" t="str">
        <f t="shared" si="186"/>
        <v/>
      </c>
      <c r="BA45" s="113" t="str">
        <f t="shared" si="187"/>
        <v/>
      </c>
      <c r="BB45" s="113" t="str">
        <f t="shared" si="188"/>
        <v/>
      </c>
      <c r="BC45" s="113" t="str">
        <f t="shared" si="189"/>
        <v/>
      </c>
      <c r="BD45" s="113" t="str">
        <f t="shared" si="190"/>
        <v/>
      </c>
      <c r="BE45" s="113" t="str">
        <f t="shared" si="191"/>
        <v/>
      </c>
      <c r="BF45" s="113" t="str">
        <f t="shared" si="192"/>
        <v/>
      </c>
      <c r="BG45" s="113" t="str">
        <f t="shared" si="193"/>
        <v/>
      </c>
      <c r="BH45" s="113" t="str">
        <f t="shared" si="194"/>
        <v/>
      </c>
      <c r="BI45" s="113" t="str">
        <f t="shared" si="195"/>
        <v/>
      </c>
      <c r="BJ45" s="113" t="str">
        <f t="shared" si="196"/>
        <v/>
      </c>
      <c r="BK45" s="113" t="str">
        <f t="shared" si="197"/>
        <v/>
      </c>
      <c r="BL45" s="113" t="str">
        <f t="shared" si="198"/>
        <v/>
      </c>
      <c r="BM45" s="113" t="str">
        <f t="shared" si="199"/>
        <v/>
      </c>
      <c r="BN45" s="113" t="str">
        <f t="shared" si="200"/>
        <v/>
      </c>
      <c r="BO45" s="113" t="str">
        <f t="shared" si="201"/>
        <v/>
      </c>
      <c r="BP45" s="113" t="str">
        <f t="shared" si="202"/>
        <v/>
      </c>
      <c r="BQ45" s="113" t="str">
        <f t="shared" si="203"/>
        <v/>
      </c>
      <c r="BR45" s="113" t="str">
        <f t="shared" si="22"/>
        <v/>
      </c>
      <c r="BS45" s="113" t="str">
        <f t="shared" si="23"/>
        <v/>
      </c>
      <c r="BT45" s="113" t="str">
        <f t="shared" si="24"/>
        <v/>
      </c>
      <c r="BU45" s="113" t="str">
        <f t="shared" si="25"/>
        <v/>
      </c>
      <c r="BV45" s="113" t="str">
        <f t="shared" si="26"/>
        <v/>
      </c>
      <c r="BW45" s="113" t="str">
        <f t="shared" si="27"/>
        <v/>
      </c>
      <c r="BX45" s="113" t="str">
        <f t="shared" si="28"/>
        <v/>
      </c>
      <c r="BY45" s="113" t="str">
        <f t="shared" si="29"/>
        <v/>
      </c>
      <c r="BZ45" s="113" t="str">
        <f t="shared" si="30"/>
        <v/>
      </c>
      <c r="CA45" s="113" t="str">
        <f t="shared" si="31"/>
        <v/>
      </c>
      <c r="CB45" s="113" t="str">
        <f t="shared" si="32"/>
        <v/>
      </c>
      <c r="CC45" s="113" t="str">
        <f t="shared" si="33"/>
        <v/>
      </c>
      <c r="CD45" s="113" t="str">
        <f t="shared" si="34"/>
        <v/>
      </c>
      <c r="CE45" s="113" t="str">
        <f t="shared" si="35"/>
        <v/>
      </c>
      <c r="CF45" s="113" t="str">
        <f t="shared" si="36"/>
        <v/>
      </c>
      <c r="CG45" s="113" t="str">
        <f t="shared" si="37"/>
        <v/>
      </c>
      <c r="CH45" s="113" t="str">
        <f t="shared" si="38"/>
        <v/>
      </c>
      <c r="CI45" s="113" t="str">
        <f t="shared" si="39"/>
        <v/>
      </c>
      <c r="CJ45" s="113" t="str">
        <f t="shared" si="40"/>
        <v/>
      </c>
      <c r="CK45" s="113" t="str">
        <f t="shared" si="41"/>
        <v/>
      </c>
      <c r="CL45" s="113" t="str">
        <f t="shared" si="42"/>
        <v/>
      </c>
      <c r="CM45" s="113" t="str">
        <f t="shared" si="43"/>
        <v/>
      </c>
      <c r="CN45" s="113" t="str">
        <f t="shared" si="44"/>
        <v/>
      </c>
      <c r="CO45" s="113" t="str">
        <f t="shared" si="45"/>
        <v/>
      </c>
      <c r="CP45" s="113" t="str">
        <f t="shared" si="46"/>
        <v/>
      </c>
      <c r="CQ45" s="113" t="str">
        <f t="shared" si="47"/>
        <v/>
      </c>
      <c r="CR45" s="113" t="str">
        <f t="shared" si="48"/>
        <v/>
      </c>
      <c r="CS45" s="113" t="str">
        <f t="shared" si="49"/>
        <v/>
      </c>
      <c r="CT45" s="113" t="str">
        <f t="shared" si="50"/>
        <v/>
      </c>
      <c r="CU45" s="113" t="str">
        <f t="shared" si="51"/>
        <v/>
      </c>
      <c r="CV45" s="113" t="str">
        <f t="shared" si="52"/>
        <v/>
      </c>
      <c r="CW45" s="113" t="str">
        <f t="shared" si="53"/>
        <v/>
      </c>
      <c r="CX45" s="113" t="str">
        <f t="shared" si="54"/>
        <v/>
      </c>
      <c r="CY45" s="113" t="str">
        <f t="shared" si="55"/>
        <v/>
      </c>
      <c r="CZ45" s="113" t="str">
        <f t="shared" si="56"/>
        <v/>
      </c>
      <c r="DA45" s="113" t="str">
        <f t="shared" si="57"/>
        <v/>
      </c>
      <c r="DB45" s="113" t="str">
        <f t="shared" si="58"/>
        <v/>
      </c>
      <c r="DC45" s="113" t="str">
        <f t="shared" si="59"/>
        <v/>
      </c>
      <c r="DD45" s="113" t="str">
        <f t="shared" si="60"/>
        <v/>
      </c>
      <c r="DE45" s="113" t="str">
        <f t="shared" si="61"/>
        <v/>
      </c>
      <c r="DF45" s="113" t="str">
        <f t="shared" si="62"/>
        <v/>
      </c>
      <c r="DG45" s="113" t="str">
        <f t="shared" si="63"/>
        <v/>
      </c>
      <c r="DH45" s="113" t="str">
        <f t="shared" si="64"/>
        <v/>
      </c>
      <c r="DI45" s="113" t="str">
        <f t="shared" si="65"/>
        <v/>
      </c>
      <c r="DJ45" s="113" t="str">
        <f t="shared" si="66"/>
        <v/>
      </c>
      <c r="DK45" s="113" t="str">
        <f t="shared" si="67"/>
        <v/>
      </c>
      <c r="DL45" s="113" t="str">
        <f t="shared" si="68"/>
        <v/>
      </c>
      <c r="DM45" s="113" t="str">
        <f t="shared" si="69"/>
        <v/>
      </c>
      <c r="DN45" s="113" t="str">
        <f t="shared" si="70"/>
        <v/>
      </c>
      <c r="DO45" s="113" t="str">
        <f t="shared" si="71"/>
        <v/>
      </c>
      <c r="DP45" s="113" t="str">
        <f t="shared" si="72"/>
        <v/>
      </c>
      <c r="DQ45" s="113" t="str">
        <f t="shared" si="73"/>
        <v/>
      </c>
      <c r="DR45" s="113" t="str">
        <f t="shared" si="74"/>
        <v/>
      </c>
      <c r="DS45" s="113" t="str">
        <f t="shared" si="75"/>
        <v/>
      </c>
      <c r="DT45" s="113" t="str">
        <f t="shared" si="76"/>
        <v/>
      </c>
      <c r="DU45" s="113" t="str">
        <f t="shared" si="77"/>
        <v/>
      </c>
      <c r="DV45" s="113" t="str">
        <f t="shared" si="78"/>
        <v/>
      </c>
      <c r="DW45" s="113" t="str">
        <f t="shared" si="79"/>
        <v/>
      </c>
      <c r="DX45" s="113" t="str">
        <f t="shared" si="80"/>
        <v/>
      </c>
      <c r="DY45" s="113" t="str">
        <f t="shared" si="81"/>
        <v/>
      </c>
      <c r="DZ45" s="113" t="str">
        <f t="shared" si="82"/>
        <v/>
      </c>
      <c r="EA45" s="113" t="str">
        <f t="shared" si="83"/>
        <v/>
      </c>
      <c r="EB45" s="113" t="str">
        <f t="shared" si="84"/>
        <v/>
      </c>
      <c r="EC45" s="113" t="str">
        <f t="shared" si="85"/>
        <v/>
      </c>
      <c r="ED45" s="113" t="str">
        <f t="shared" si="86"/>
        <v/>
      </c>
      <c r="EE45" s="113" t="str">
        <f t="shared" si="87"/>
        <v/>
      </c>
      <c r="EF45" s="113" t="str">
        <f t="shared" si="88"/>
        <v/>
      </c>
      <c r="EG45" s="113" t="str">
        <f t="shared" si="89"/>
        <v/>
      </c>
      <c r="EH45" s="113" t="str">
        <f t="shared" si="90"/>
        <v/>
      </c>
      <c r="EI45" s="113" t="str">
        <f t="shared" si="91"/>
        <v/>
      </c>
      <c r="EJ45" s="113" t="str">
        <f t="shared" si="92"/>
        <v/>
      </c>
      <c r="EK45" s="113" t="str">
        <f t="shared" si="93"/>
        <v/>
      </c>
      <c r="EL45" s="113" t="str">
        <f t="shared" si="94"/>
        <v/>
      </c>
      <c r="EM45" s="113" t="str">
        <f t="shared" si="95"/>
        <v/>
      </c>
      <c r="EN45" s="113" t="str">
        <f t="shared" si="96"/>
        <v/>
      </c>
      <c r="EO45" s="113" t="str">
        <f t="shared" si="97"/>
        <v/>
      </c>
      <c r="EP45" s="113" t="str">
        <f t="shared" si="98"/>
        <v/>
      </c>
      <c r="EQ45" s="113" t="str">
        <f t="shared" si="99"/>
        <v/>
      </c>
      <c r="ER45" s="113" t="str">
        <f t="shared" si="100"/>
        <v/>
      </c>
      <c r="ES45" s="113" t="str">
        <f t="shared" si="101"/>
        <v/>
      </c>
      <c r="ET45" s="660" t="str">
        <f t="shared" si="102"/>
        <v/>
      </c>
      <c r="EU45" s="660" t="str">
        <f t="shared" si="103"/>
        <v/>
      </c>
      <c r="EV45" s="660" t="str">
        <f t="shared" si="104"/>
        <v/>
      </c>
      <c r="EW45" s="660" t="str">
        <f t="shared" si="105"/>
        <v/>
      </c>
      <c r="EX45" s="660" t="str">
        <f t="shared" si="106"/>
        <v/>
      </c>
      <c r="EY45" s="660" t="str">
        <f t="shared" si="107"/>
        <v/>
      </c>
      <c r="EZ45" s="660" t="str">
        <f t="shared" si="108"/>
        <v/>
      </c>
      <c r="FA45" s="660" t="str">
        <f t="shared" si="109"/>
        <v/>
      </c>
      <c r="FB45" s="660" t="str">
        <f t="shared" si="110"/>
        <v/>
      </c>
      <c r="FC45" s="660" t="str">
        <f t="shared" si="111"/>
        <v/>
      </c>
      <c r="FD45" s="660" t="str">
        <f t="shared" si="112"/>
        <v/>
      </c>
      <c r="FE45" s="660" t="str">
        <f t="shared" si="113"/>
        <v/>
      </c>
      <c r="FF45" s="660" t="str">
        <f t="shared" si="114"/>
        <v/>
      </c>
      <c r="FG45" s="660" t="str">
        <f t="shared" si="115"/>
        <v/>
      </c>
      <c r="FH45" s="660" t="str">
        <f t="shared" si="116"/>
        <v/>
      </c>
      <c r="FI45" s="660" t="str">
        <f t="shared" si="117"/>
        <v/>
      </c>
      <c r="FJ45" s="660" t="str">
        <f t="shared" si="118"/>
        <v/>
      </c>
      <c r="FK45" s="660" t="str">
        <f t="shared" si="119"/>
        <v/>
      </c>
      <c r="FL45" s="660" t="str">
        <f t="shared" si="120"/>
        <v/>
      </c>
      <c r="FM45" s="660" t="str">
        <f t="shared" si="121"/>
        <v/>
      </c>
      <c r="FN45" s="660" t="str">
        <f t="shared" si="122"/>
        <v/>
      </c>
      <c r="FO45" s="660" t="str">
        <f t="shared" si="123"/>
        <v/>
      </c>
      <c r="FP45" s="660" t="str">
        <f t="shared" si="124"/>
        <v/>
      </c>
      <c r="FQ45" s="660" t="str">
        <f t="shared" si="125"/>
        <v/>
      </c>
      <c r="FR45" s="660" t="str">
        <f t="shared" si="126"/>
        <v/>
      </c>
      <c r="FS45" s="660" t="str">
        <f t="shared" si="127"/>
        <v/>
      </c>
      <c r="FT45" s="660" t="str">
        <f t="shared" si="128"/>
        <v/>
      </c>
      <c r="FU45" s="660" t="str">
        <f t="shared" si="129"/>
        <v/>
      </c>
      <c r="FV45" s="660" t="str">
        <f t="shared" si="130"/>
        <v/>
      </c>
      <c r="FW45" s="660" t="str">
        <f t="shared" si="131"/>
        <v/>
      </c>
      <c r="FX45" s="660" t="str">
        <f t="shared" si="132"/>
        <v/>
      </c>
      <c r="FY45" s="660" t="str">
        <f t="shared" si="133"/>
        <v/>
      </c>
      <c r="FZ45" s="660" t="str">
        <f t="shared" si="134"/>
        <v/>
      </c>
      <c r="GA45" s="660" t="str">
        <f t="shared" si="135"/>
        <v/>
      </c>
      <c r="GB45" s="660" t="str">
        <f t="shared" si="136"/>
        <v/>
      </c>
      <c r="GC45" s="660" t="str">
        <f t="shared" si="137"/>
        <v/>
      </c>
      <c r="GD45" s="660" t="str">
        <f t="shared" si="138"/>
        <v/>
      </c>
      <c r="GE45" s="660" t="str">
        <f t="shared" si="139"/>
        <v/>
      </c>
      <c r="GF45" s="660" t="str">
        <f t="shared" si="140"/>
        <v/>
      </c>
      <c r="GG45" s="660" t="str">
        <f t="shared" si="141"/>
        <v/>
      </c>
      <c r="GH45" s="660" t="str">
        <f t="shared" si="142"/>
        <v/>
      </c>
      <c r="GI45" s="660" t="str">
        <f t="shared" si="143"/>
        <v/>
      </c>
      <c r="GJ45" s="660" t="str">
        <f t="shared" si="144"/>
        <v/>
      </c>
      <c r="GK45" s="660" t="str">
        <f t="shared" si="145"/>
        <v/>
      </c>
      <c r="GL45" s="660" t="str">
        <f t="shared" si="146"/>
        <v/>
      </c>
      <c r="GM45" s="661" t="str">
        <f t="shared" si="147"/>
        <v/>
      </c>
      <c r="GN45" s="661" t="str">
        <f t="shared" si="148"/>
        <v/>
      </c>
      <c r="GO45" s="661" t="str">
        <f t="shared" si="149"/>
        <v/>
      </c>
      <c r="GP45" s="661" t="str">
        <f t="shared" si="150"/>
        <v/>
      </c>
      <c r="GQ45" s="661" t="str">
        <f t="shared" si="151"/>
        <v/>
      </c>
      <c r="GR45" s="113" t="str">
        <f t="shared" si="152"/>
        <v/>
      </c>
      <c r="GS45" s="113" t="str">
        <f t="shared" si="153"/>
        <v/>
      </c>
      <c r="GT45" s="113" t="str">
        <f t="shared" si="154"/>
        <v/>
      </c>
      <c r="GU45" s="113" t="str">
        <f t="shared" si="155"/>
        <v/>
      </c>
      <c r="GV45" s="113" t="str">
        <f t="shared" si="156"/>
        <v/>
      </c>
      <c r="GW45" s="113" t="str">
        <f t="shared" si="157"/>
        <v/>
      </c>
      <c r="GX45" s="113" t="str">
        <f t="shared" si="158"/>
        <v/>
      </c>
      <c r="GY45" s="113" t="str">
        <f t="shared" si="159"/>
        <v/>
      </c>
      <c r="GZ45" s="113" t="str">
        <f t="shared" si="160"/>
        <v/>
      </c>
      <c r="HA45" s="113" t="str">
        <f t="shared" si="161"/>
        <v/>
      </c>
      <c r="HB45" s="113" t="str">
        <f t="shared" si="162"/>
        <v/>
      </c>
      <c r="HC45" s="113" t="str">
        <f t="shared" si="163"/>
        <v/>
      </c>
      <c r="HD45" s="113" t="str">
        <f t="shared" si="164"/>
        <v/>
      </c>
      <c r="HE45" s="113" t="str">
        <f t="shared" si="165"/>
        <v/>
      </c>
      <c r="HF45" s="113" t="str">
        <f t="shared" si="166"/>
        <v/>
      </c>
      <c r="HG45" s="113" t="str">
        <f t="shared" si="167"/>
        <v/>
      </c>
      <c r="HH45" s="113" t="str">
        <f t="shared" si="168"/>
        <v/>
      </c>
      <c r="HI45" s="113" t="str">
        <f t="shared" si="169"/>
        <v/>
      </c>
      <c r="HJ45" s="113" t="str">
        <f t="shared" si="170"/>
        <v/>
      </c>
      <c r="HK45" s="113" t="str">
        <f t="shared" si="171"/>
        <v/>
      </c>
    </row>
    <row r="46" spans="1:219" ht="13.2" customHeight="1">
      <c r="A46" s="146" t="str">
        <f t="shared" si="172"/>
        <v/>
      </c>
      <c r="B46" s="836"/>
      <c r="C46" s="837"/>
      <c r="D46" s="838"/>
      <c r="E46" s="839"/>
      <c r="F46" s="839"/>
      <c r="G46" s="839"/>
      <c r="H46" s="839"/>
      <c r="I46" s="839"/>
      <c r="J46" s="840"/>
      <c r="K46" s="227">
        <f t="shared" si="409"/>
        <v>0</v>
      </c>
      <c r="L46" s="227">
        <f t="shared" si="0"/>
        <v>0</v>
      </c>
      <c r="M46" s="841"/>
      <c r="N46" s="841"/>
      <c r="O46" s="841"/>
      <c r="P46" s="581" t="str">
        <f t="shared" si="407"/>
        <v/>
      </c>
      <c r="Q46" s="582" t="str">
        <f>IF(H46="","",P46/($P$6*VLOOKUP(C46,'DCA Underwriting Assumptions'!$J$77:$K$82,2,FALSE)))</f>
        <v/>
      </c>
      <c r="R46" s="739"/>
      <c r="S46" s="659"/>
      <c r="T46" s="113" t="str">
        <f t="shared" si="2"/>
        <v/>
      </c>
      <c r="U46" s="113" t="str">
        <f t="shared" si="3"/>
        <v/>
      </c>
      <c r="V46" s="113" t="str">
        <f t="shared" si="4"/>
        <v/>
      </c>
      <c r="W46" s="113" t="str">
        <f t="shared" si="5"/>
        <v/>
      </c>
      <c r="X46" s="113" t="str">
        <f t="shared" si="6"/>
        <v/>
      </c>
      <c r="Y46" s="113" t="str">
        <f t="shared" si="7"/>
        <v/>
      </c>
      <c r="Z46" s="113" t="str">
        <f t="shared" si="8"/>
        <v/>
      </c>
      <c r="AA46" s="113" t="str">
        <f t="shared" si="9"/>
        <v/>
      </c>
      <c r="AB46" s="113" t="str">
        <f t="shared" si="10"/>
        <v/>
      </c>
      <c r="AC46" s="113" t="str">
        <f t="shared" si="11"/>
        <v/>
      </c>
      <c r="AD46" s="113" t="str">
        <f t="shared" si="12"/>
        <v/>
      </c>
      <c r="AE46" s="113" t="str">
        <f t="shared" si="13"/>
        <v/>
      </c>
      <c r="AF46" s="113" t="str">
        <f t="shared" si="14"/>
        <v/>
      </c>
      <c r="AG46" s="113" t="str">
        <f t="shared" si="15"/>
        <v/>
      </c>
      <c r="AH46" s="113" t="str">
        <f t="shared" si="16"/>
        <v/>
      </c>
      <c r="AI46" s="113" t="str">
        <f t="shared" si="17"/>
        <v/>
      </c>
      <c r="AJ46" s="113" t="str">
        <f t="shared" si="18"/>
        <v/>
      </c>
      <c r="AK46" s="113" t="str">
        <f t="shared" si="19"/>
        <v/>
      </c>
      <c r="AL46" s="113" t="str">
        <f t="shared" si="20"/>
        <v/>
      </c>
      <c r="AM46" s="113" t="str">
        <f t="shared" si="21"/>
        <v/>
      </c>
      <c r="AN46" s="113" t="str">
        <f t="shared" si="174"/>
        <v/>
      </c>
      <c r="AO46" s="113" t="str">
        <f t="shared" si="175"/>
        <v/>
      </c>
      <c r="AP46" s="113" t="str">
        <f t="shared" si="176"/>
        <v/>
      </c>
      <c r="AQ46" s="113" t="str">
        <f t="shared" si="177"/>
        <v/>
      </c>
      <c r="AR46" s="113" t="str">
        <f t="shared" si="178"/>
        <v/>
      </c>
      <c r="AS46" s="113" t="str">
        <f t="shared" si="179"/>
        <v/>
      </c>
      <c r="AT46" s="113" t="str">
        <f t="shared" si="180"/>
        <v/>
      </c>
      <c r="AU46" s="113" t="str">
        <f t="shared" si="181"/>
        <v/>
      </c>
      <c r="AV46" s="113" t="str">
        <f t="shared" si="182"/>
        <v/>
      </c>
      <c r="AW46" s="113" t="str">
        <f t="shared" si="183"/>
        <v/>
      </c>
      <c r="AX46" s="113" t="str">
        <f t="shared" si="184"/>
        <v/>
      </c>
      <c r="AY46" s="113" t="str">
        <f t="shared" si="185"/>
        <v/>
      </c>
      <c r="AZ46" s="113" t="str">
        <f t="shared" si="186"/>
        <v/>
      </c>
      <c r="BA46" s="113" t="str">
        <f t="shared" si="187"/>
        <v/>
      </c>
      <c r="BB46" s="113" t="str">
        <f t="shared" si="188"/>
        <v/>
      </c>
      <c r="BC46" s="113" t="str">
        <f t="shared" si="189"/>
        <v/>
      </c>
      <c r="BD46" s="113" t="str">
        <f t="shared" si="190"/>
        <v/>
      </c>
      <c r="BE46" s="113" t="str">
        <f t="shared" si="191"/>
        <v/>
      </c>
      <c r="BF46" s="113" t="str">
        <f t="shared" si="192"/>
        <v/>
      </c>
      <c r="BG46" s="113" t="str">
        <f t="shared" si="193"/>
        <v/>
      </c>
      <c r="BH46" s="113" t="str">
        <f t="shared" si="194"/>
        <v/>
      </c>
      <c r="BI46" s="113" t="str">
        <f t="shared" si="195"/>
        <v/>
      </c>
      <c r="BJ46" s="113" t="str">
        <f t="shared" si="196"/>
        <v/>
      </c>
      <c r="BK46" s="113" t="str">
        <f t="shared" si="197"/>
        <v/>
      </c>
      <c r="BL46" s="113" t="str">
        <f t="shared" si="198"/>
        <v/>
      </c>
      <c r="BM46" s="113" t="str">
        <f t="shared" si="199"/>
        <v/>
      </c>
      <c r="BN46" s="113" t="str">
        <f t="shared" si="200"/>
        <v/>
      </c>
      <c r="BO46" s="113" t="str">
        <f t="shared" si="201"/>
        <v/>
      </c>
      <c r="BP46" s="113" t="str">
        <f t="shared" si="202"/>
        <v/>
      </c>
      <c r="BQ46" s="113" t="str">
        <f t="shared" si="203"/>
        <v/>
      </c>
      <c r="BR46" s="113" t="str">
        <f t="shared" si="22"/>
        <v/>
      </c>
      <c r="BS46" s="113" t="str">
        <f t="shared" si="23"/>
        <v/>
      </c>
      <c r="BT46" s="113" t="str">
        <f t="shared" si="24"/>
        <v/>
      </c>
      <c r="BU46" s="113" t="str">
        <f t="shared" si="25"/>
        <v/>
      </c>
      <c r="BV46" s="113" t="str">
        <f t="shared" si="26"/>
        <v/>
      </c>
      <c r="BW46" s="113" t="str">
        <f t="shared" si="27"/>
        <v/>
      </c>
      <c r="BX46" s="113" t="str">
        <f t="shared" si="28"/>
        <v/>
      </c>
      <c r="BY46" s="113" t="str">
        <f t="shared" si="29"/>
        <v/>
      </c>
      <c r="BZ46" s="113" t="str">
        <f t="shared" si="30"/>
        <v/>
      </c>
      <c r="CA46" s="113" t="str">
        <f t="shared" si="31"/>
        <v/>
      </c>
      <c r="CB46" s="113" t="str">
        <f t="shared" si="32"/>
        <v/>
      </c>
      <c r="CC46" s="113" t="str">
        <f t="shared" si="33"/>
        <v/>
      </c>
      <c r="CD46" s="113" t="str">
        <f t="shared" si="34"/>
        <v/>
      </c>
      <c r="CE46" s="113" t="str">
        <f t="shared" si="35"/>
        <v/>
      </c>
      <c r="CF46" s="113" t="str">
        <f t="shared" si="36"/>
        <v/>
      </c>
      <c r="CG46" s="113" t="str">
        <f t="shared" si="37"/>
        <v/>
      </c>
      <c r="CH46" s="113" t="str">
        <f t="shared" si="38"/>
        <v/>
      </c>
      <c r="CI46" s="113" t="str">
        <f t="shared" si="39"/>
        <v/>
      </c>
      <c r="CJ46" s="113" t="str">
        <f t="shared" si="40"/>
        <v/>
      </c>
      <c r="CK46" s="113" t="str">
        <f t="shared" si="41"/>
        <v/>
      </c>
      <c r="CL46" s="113" t="str">
        <f t="shared" si="42"/>
        <v/>
      </c>
      <c r="CM46" s="113" t="str">
        <f t="shared" si="43"/>
        <v/>
      </c>
      <c r="CN46" s="113" t="str">
        <f t="shared" si="44"/>
        <v/>
      </c>
      <c r="CO46" s="113" t="str">
        <f t="shared" si="45"/>
        <v/>
      </c>
      <c r="CP46" s="113" t="str">
        <f t="shared" si="46"/>
        <v/>
      </c>
      <c r="CQ46" s="113" t="str">
        <f t="shared" si="47"/>
        <v/>
      </c>
      <c r="CR46" s="113" t="str">
        <f t="shared" si="48"/>
        <v/>
      </c>
      <c r="CS46" s="113" t="str">
        <f t="shared" si="49"/>
        <v/>
      </c>
      <c r="CT46" s="113" t="str">
        <f t="shared" si="50"/>
        <v/>
      </c>
      <c r="CU46" s="113" t="str">
        <f t="shared" si="51"/>
        <v/>
      </c>
      <c r="CV46" s="113" t="str">
        <f t="shared" si="52"/>
        <v/>
      </c>
      <c r="CW46" s="113" t="str">
        <f t="shared" si="53"/>
        <v/>
      </c>
      <c r="CX46" s="113" t="str">
        <f t="shared" si="54"/>
        <v/>
      </c>
      <c r="CY46" s="113" t="str">
        <f t="shared" si="55"/>
        <v/>
      </c>
      <c r="CZ46" s="113" t="str">
        <f t="shared" si="56"/>
        <v/>
      </c>
      <c r="DA46" s="113" t="str">
        <f t="shared" si="57"/>
        <v/>
      </c>
      <c r="DB46" s="113" t="str">
        <f t="shared" si="58"/>
        <v/>
      </c>
      <c r="DC46" s="113" t="str">
        <f t="shared" si="59"/>
        <v/>
      </c>
      <c r="DD46" s="113" t="str">
        <f t="shared" si="60"/>
        <v/>
      </c>
      <c r="DE46" s="113" t="str">
        <f t="shared" si="61"/>
        <v/>
      </c>
      <c r="DF46" s="113" t="str">
        <f t="shared" si="62"/>
        <v/>
      </c>
      <c r="DG46" s="113" t="str">
        <f t="shared" si="63"/>
        <v/>
      </c>
      <c r="DH46" s="113" t="str">
        <f t="shared" si="64"/>
        <v/>
      </c>
      <c r="DI46" s="113" t="str">
        <f t="shared" si="65"/>
        <v/>
      </c>
      <c r="DJ46" s="113" t="str">
        <f t="shared" si="66"/>
        <v/>
      </c>
      <c r="DK46" s="113" t="str">
        <f t="shared" si="67"/>
        <v/>
      </c>
      <c r="DL46" s="113" t="str">
        <f t="shared" si="68"/>
        <v/>
      </c>
      <c r="DM46" s="113" t="str">
        <f t="shared" si="69"/>
        <v/>
      </c>
      <c r="DN46" s="113" t="str">
        <f t="shared" si="70"/>
        <v/>
      </c>
      <c r="DO46" s="113" t="str">
        <f t="shared" si="71"/>
        <v/>
      </c>
      <c r="DP46" s="113" t="str">
        <f t="shared" si="72"/>
        <v/>
      </c>
      <c r="DQ46" s="113" t="str">
        <f t="shared" si="73"/>
        <v/>
      </c>
      <c r="DR46" s="113" t="str">
        <f t="shared" si="74"/>
        <v/>
      </c>
      <c r="DS46" s="113" t="str">
        <f t="shared" si="75"/>
        <v/>
      </c>
      <c r="DT46" s="113" t="str">
        <f t="shared" si="76"/>
        <v/>
      </c>
      <c r="DU46" s="113" t="str">
        <f t="shared" si="77"/>
        <v/>
      </c>
      <c r="DV46" s="113" t="str">
        <f t="shared" si="78"/>
        <v/>
      </c>
      <c r="DW46" s="113" t="str">
        <f t="shared" si="79"/>
        <v/>
      </c>
      <c r="DX46" s="113" t="str">
        <f t="shared" si="80"/>
        <v/>
      </c>
      <c r="DY46" s="113" t="str">
        <f t="shared" si="81"/>
        <v/>
      </c>
      <c r="DZ46" s="113" t="str">
        <f t="shared" si="82"/>
        <v/>
      </c>
      <c r="EA46" s="113" t="str">
        <f t="shared" si="83"/>
        <v/>
      </c>
      <c r="EB46" s="113" t="str">
        <f t="shared" si="84"/>
        <v/>
      </c>
      <c r="EC46" s="113" t="str">
        <f t="shared" si="85"/>
        <v/>
      </c>
      <c r="ED46" s="113" t="str">
        <f t="shared" si="86"/>
        <v/>
      </c>
      <c r="EE46" s="113" t="str">
        <f t="shared" si="87"/>
        <v/>
      </c>
      <c r="EF46" s="113" t="str">
        <f t="shared" si="88"/>
        <v/>
      </c>
      <c r="EG46" s="113" t="str">
        <f t="shared" si="89"/>
        <v/>
      </c>
      <c r="EH46" s="113" t="str">
        <f t="shared" si="90"/>
        <v/>
      </c>
      <c r="EI46" s="113" t="str">
        <f t="shared" si="91"/>
        <v/>
      </c>
      <c r="EJ46" s="113" t="str">
        <f t="shared" si="92"/>
        <v/>
      </c>
      <c r="EK46" s="113" t="str">
        <f t="shared" si="93"/>
        <v/>
      </c>
      <c r="EL46" s="113" t="str">
        <f t="shared" si="94"/>
        <v/>
      </c>
      <c r="EM46" s="113" t="str">
        <f t="shared" si="95"/>
        <v/>
      </c>
      <c r="EN46" s="113" t="str">
        <f t="shared" si="96"/>
        <v/>
      </c>
      <c r="EO46" s="113" t="str">
        <f t="shared" si="97"/>
        <v/>
      </c>
      <c r="EP46" s="113" t="str">
        <f t="shared" si="98"/>
        <v/>
      </c>
      <c r="EQ46" s="113" t="str">
        <f t="shared" si="99"/>
        <v/>
      </c>
      <c r="ER46" s="113" t="str">
        <f t="shared" si="100"/>
        <v/>
      </c>
      <c r="ES46" s="113" t="str">
        <f t="shared" si="101"/>
        <v/>
      </c>
      <c r="ET46" s="660" t="str">
        <f t="shared" si="102"/>
        <v/>
      </c>
      <c r="EU46" s="660" t="str">
        <f t="shared" si="103"/>
        <v/>
      </c>
      <c r="EV46" s="660" t="str">
        <f t="shared" si="104"/>
        <v/>
      </c>
      <c r="EW46" s="660" t="str">
        <f t="shared" si="105"/>
        <v/>
      </c>
      <c r="EX46" s="660" t="str">
        <f t="shared" si="106"/>
        <v/>
      </c>
      <c r="EY46" s="660" t="str">
        <f t="shared" si="107"/>
        <v/>
      </c>
      <c r="EZ46" s="660" t="str">
        <f t="shared" si="108"/>
        <v/>
      </c>
      <c r="FA46" s="660" t="str">
        <f t="shared" si="109"/>
        <v/>
      </c>
      <c r="FB46" s="660" t="str">
        <f t="shared" si="110"/>
        <v/>
      </c>
      <c r="FC46" s="660" t="str">
        <f t="shared" si="111"/>
        <v/>
      </c>
      <c r="FD46" s="660" t="str">
        <f t="shared" si="112"/>
        <v/>
      </c>
      <c r="FE46" s="660" t="str">
        <f t="shared" si="113"/>
        <v/>
      </c>
      <c r="FF46" s="660" t="str">
        <f t="shared" si="114"/>
        <v/>
      </c>
      <c r="FG46" s="660" t="str">
        <f t="shared" si="115"/>
        <v/>
      </c>
      <c r="FH46" s="660" t="str">
        <f t="shared" si="116"/>
        <v/>
      </c>
      <c r="FI46" s="660" t="str">
        <f t="shared" si="117"/>
        <v/>
      </c>
      <c r="FJ46" s="660" t="str">
        <f t="shared" si="118"/>
        <v/>
      </c>
      <c r="FK46" s="660" t="str">
        <f t="shared" si="119"/>
        <v/>
      </c>
      <c r="FL46" s="660" t="str">
        <f t="shared" si="120"/>
        <v/>
      </c>
      <c r="FM46" s="660" t="str">
        <f t="shared" si="121"/>
        <v/>
      </c>
      <c r="FN46" s="660" t="str">
        <f t="shared" si="122"/>
        <v/>
      </c>
      <c r="FO46" s="660" t="str">
        <f t="shared" si="123"/>
        <v/>
      </c>
      <c r="FP46" s="660" t="str">
        <f t="shared" si="124"/>
        <v/>
      </c>
      <c r="FQ46" s="660" t="str">
        <f t="shared" si="125"/>
        <v/>
      </c>
      <c r="FR46" s="660" t="str">
        <f t="shared" si="126"/>
        <v/>
      </c>
      <c r="FS46" s="660" t="str">
        <f t="shared" si="127"/>
        <v/>
      </c>
      <c r="FT46" s="660" t="str">
        <f t="shared" si="128"/>
        <v/>
      </c>
      <c r="FU46" s="660" t="str">
        <f t="shared" si="129"/>
        <v/>
      </c>
      <c r="FV46" s="660" t="str">
        <f t="shared" si="130"/>
        <v/>
      </c>
      <c r="FW46" s="660" t="str">
        <f t="shared" si="131"/>
        <v/>
      </c>
      <c r="FX46" s="660" t="str">
        <f t="shared" si="132"/>
        <v/>
      </c>
      <c r="FY46" s="660" t="str">
        <f t="shared" si="133"/>
        <v/>
      </c>
      <c r="FZ46" s="660" t="str">
        <f t="shared" si="134"/>
        <v/>
      </c>
      <c r="GA46" s="660" t="str">
        <f t="shared" si="135"/>
        <v/>
      </c>
      <c r="GB46" s="660" t="str">
        <f t="shared" si="136"/>
        <v/>
      </c>
      <c r="GC46" s="660" t="str">
        <f t="shared" si="137"/>
        <v/>
      </c>
      <c r="GD46" s="660" t="str">
        <f t="shared" si="138"/>
        <v/>
      </c>
      <c r="GE46" s="660" t="str">
        <f t="shared" si="139"/>
        <v/>
      </c>
      <c r="GF46" s="660" t="str">
        <f t="shared" si="140"/>
        <v/>
      </c>
      <c r="GG46" s="660" t="str">
        <f t="shared" si="141"/>
        <v/>
      </c>
      <c r="GH46" s="660" t="str">
        <f t="shared" si="142"/>
        <v/>
      </c>
      <c r="GI46" s="660" t="str">
        <f t="shared" si="143"/>
        <v/>
      </c>
      <c r="GJ46" s="660" t="str">
        <f t="shared" si="144"/>
        <v/>
      </c>
      <c r="GK46" s="660" t="str">
        <f t="shared" si="145"/>
        <v/>
      </c>
      <c r="GL46" s="660" t="str">
        <f t="shared" si="146"/>
        <v/>
      </c>
      <c r="GM46" s="661" t="str">
        <f t="shared" si="147"/>
        <v/>
      </c>
      <c r="GN46" s="661" t="str">
        <f t="shared" si="148"/>
        <v/>
      </c>
      <c r="GO46" s="661" t="str">
        <f t="shared" si="149"/>
        <v/>
      </c>
      <c r="GP46" s="661" t="str">
        <f t="shared" si="150"/>
        <v/>
      </c>
      <c r="GQ46" s="661" t="str">
        <f t="shared" si="151"/>
        <v/>
      </c>
      <c r="GR46" s="113" t="str">
        <f t="shared" si="152"/>
        <v/>
      </c>
      <c r="GS46" s="113" t="str">
        <f t="shared" si="153"/>
        <v/>
      </c>
      <c r="GT46" s="113" t="str">
        <f t="shared" si="154"/>
        <v/>
      </c>
      <c r="GU46" s="113" t="str">
        <f t="shared" si="155"/>
        <v/>
      </c>
      <c r="GV46" s="113" t="str">
        <f t="shared" si="156"/>
        <v/>
      </c>
      <c r="GW46" s="113" t="str">
        <f t="shared" si="157"/>
        <v/>
      </c>
      <c r="GX46" s="113" t="str">
        <f t="shared" si="158"/>
        <v/>
      </c>
      <c r="GY46" s="113" t="str">
        <f t="shared" si="159"/>
        <v/>
      </c>
      <c r="GZ46" s="113" t="str">
        <f t="shared" si="160"/>
        <v/>
      </c>
      <c r="HA46" s="113" t="str">
        <f t="shared" si="161"/>
        <v/>
      </c>
      <c r="HB46" s="113" t="str">
        <f t="shared" si="162"/>
        <v/>
      </c>
      <c r="HC46" s="113" t="str">
        <f t="shared" si="163"/>
        <v/>
      </c>
      <c r="HD46" s="113" t="str">
        <f t="shared" si="164"/>
        <v/>
      </c>
      <c r="HE46" s="113" t="str">
        <f t="shared" si="165"/>
        <v/>
      </c>
      <c r="HF46" s="113" t="str">
        <f t="shared" si="166"/>
        <v/>
      </c>
      <c r="HG46" s="113" t="str">
        <f t="shared" si="167"/>
        <v/>
      </c>
      <c r="HH46" s="113" t="str">
        <f t="shared" si="168"/>
        <v/>
      </c>
      <c r="HI46" s="113" t="str">
        <f t="shared" si="169"/>
        <v/>
      </c>
      <c r="HJ46" s="113" t="str">
        <f t="shared" si="170"/>
        <v/>
      </c>
      <c r="HK46" s="113" t="str">
        <f t="shared" si="171"/>
        <v/>
      </c>
    </row>
    <row r="47" spans="1:219" ht="13.2" customHeight="1">
      <c r="A47" s="146" t="str">
        <f t="shared" si="172"/>
        <v/>
      </c>
      <c r="B47" s="842"/>
      <c r="C47" s="843"/>
      <c r="D47" s="844"/>
      <c r="E47" s="845"/>
      <c r="F47" s="845"/>
      <c r="G47" s="845"/>
      <c r="H47" s="845"/>
      <c r="I47" s="845"/>
      <c r="J47" s="846"/>
      <c r="K47" s="228">
        <f t="shared" si="408"/>
        <v>0</v>
      </c>
      <c r="L47" s="228">
        <f t="shared" si="0"/>
        <v>0</v>
      </c>
      <c r="M47" s="847"/>
      <c r="N47" s="847"/>
      <c r="O47" s="847"/>
      <c r="P47" s="581" t="str">
        <f t="shared" si="407"/>
        <v/>
      </c>
      <c r="Q47" s="582" t="str">
        <f>IF(H47="","",P47/($P$6*VLOOKUP(C47,'DCA Underwriting Assumptions'!$J$77:$K$82,2,FALSE)))</f>
        <v/>
      </c>
      <c r="R47" s="739"/>
      <c r="S47" s="659"/>
      <c r="T47" s="113" t="str">
        <f t="shared" si="2"/>
        <v/>
      </c>
      <c r="U47" s="113" t="str">
        <f t="shared" si="3"/>
        <v/>
      </c>
      <c r="V47" s="113" t="str">
        <f t="shared" si="4"/>
        <v/>
      </c>
      <c r="W47" s="113" t="str">
        <f t="shared" si="5"/>
        <v/>
      </c>
      <c r="X47" s="113" t="str">
        <f t="shared" si="6"/>
        <v/>
      </c>
      <c r="Y47" s="113" t="str">
        <f t="shared" si="7"/>
        <v/>
      </c>
      <c r="Z47" s="113" t="str">
        <f t="shared" si="8"/>
        <v/>
      </c>
      <c r="AA47" s="113" t="str">
        <f t="shared" si="9"/>
        <v/>
      </c>
      <c r="AB47" s="113" t="str">
        <f t="shared" si="10"/>
        <v/>
      </c>
      <c r="AC47" s="113" t="str">
        <f t="shared" si="11"/>
        <v/>
      </c>
      <c r="AD47" s="113" t="str">
        <f t="shared" si="12"/>
        <v/>
      </c>
      <c r="AE47" s="113" t="str">
        <f t="shared" si="13"/>
        <v/>
      </c>
      <c r="AF47" s="113" t="str">
        <f t="shared" si="14"/>
        <v/>
      </c>
      <c r="AG47" s="113" t="str">
        <f t="shared" si="15"/>
        <v/>
      </c>
      <c r="AH47" s="113" t="str">
        <f t="shared" si="16"/>
        <v/>
      </c>
      <c r="AI47" s="113" t="str">
        <f t="shared" si="17"/>
        <v/>
      </c>
      <c r="AJ47" s="113" t="str">
        <f t="shared" si="18"/>
        <v/>
      </c>
      <c r="AK47" s="113" t="str">
        <f t="shared" si="19"/>
        <v/>
      </c>
      <c r="AL47" s="113" t="str">
        <f t="shared" si="20"/>
        <v/>
      </c>
      <c r="AM47" s="113" t="str">
        <f t="shared" si="21"/>
        <v/>
      </c>
      <c r="AN47" s="113" t="str">
        <f t="shared" si="174"/>
        <v/>
      </c>
      <c r="AO47" s="113" t="str">
        <f t="shared" si="175"/>
        <v/>
      </c>
      <c r="AP47" s="113" t="str">
        <f t="shared" si="176"/>
        <v/>
      </c>
      <c r="AQ47" s="113" t="str">
        <f t="shared" si="177"/>
        <v/>
      </c>
      <c r="AR47" s="113" t="str">
        <f t="shared" si="178"/>
        <v/>
      </c>
      <c r="AS47" s="113" t="str">
        <f t="shared" si="179"/>
        <v/>
      </c>
      <c r="AT47" s="113" t="str">
        <f t="shared" si="180"/>
        <v/>
      </c>
      <c r="AU47" s="113" t="str">
        <f t="shared" si="181"/>
        <v/>
      </c>
      <c r="AV47" s="113" t="str">
        <f t="shared" si="182"/>
        <v/>
      </c>
      <c r="AW47" s="113" t="str">
        <f t="shared" si="183"/>
        <v/>
      </c>
      <c r="AX47" s="113" t="str">
        <f t="shared" si="184"/>
        <v/>
      </c>
      <c r="AY47" s="113" t="str">
        <f t="shared" si="185"/>
        <v/>
      </c>
      <c r="AZ47" s="113" t="str">
        <f t="shared" si="186"/>
        <v/>
      </c>
      <c r="BA47" s="113" t="str">
        <f t="shared" si="187"/>
        <v/>
      </c>
      <c r="BB47" s="113" t="str">
        <f t="shared" si="188"/>
        <v/>
      </c>
      <c r="BC47" s="113" t="str">
        <f t="shared" si="189"/>
        <v/>
      </c>
      <c r="BD47" s="113" t="str">
        <f t="shared" si="190"/>
        <v/>
      </c>
      <c r="BE47" s="113" t="str">
        <f t="shared" si="191"/>
        <v/>
      </c>
      <c r="BF47" s="113" t="str">
        <f t="shared" si="192"/>
        <v/>
      </c>
      <c r="BG47" s="113" t="str">
        <f t="shared" si="193"/>
        <v/>
      </c>
      <c r="BH47" s="113" t="str">
        <f t="shared" si="194"/>
        <v/>
      </c>
      <c r="BI47" s="113" t="str">
        <f t="shared" si="195"/>
        <v/>
      </c>
      <c r="BJ47" s="113" t="str">
        <f t="shared" si="196"/>
        <v/>
      </c>
      <c r="BK47" s="113" t="str">
        <f t="shared" si="197"/>
        <v/>
      </c>
      <c r="BL47" s="113" t="str">
        <f t="shared" si="198"/>
        <v/>
      </c>
      <c r="BM47" s="113" t="str">
        <f t="shared" si="199"/>
        <v/>
      </c>
      <c r="BN47" s="113" t="str">
        <f t="shared" si="200"/>
        <v/>
      </c>
      <c r="BO47" s="113" t="str">
        <f t="shared" si="201"/>
        <v/>
      </c>
      <c r="BP47" s="113" t="str">
        <f t="shared" si="202"/>
        <v/>
      </c>
      <c r="BQ47" s="113" t="str">
        <f t="shared" si="203"/>
        <v/>
      </c>
      <c r="BR47" s="113" t="str">
        <f t="shared" si="22"/>
        <v/>
      </c>
      <c r="BS47" s="113" t="str">
        <f t="shared" si="23"/>
        <v/>
      </c>
      <c r="BT47" s="113" t="str">
        <f t="shared" si="24"/>
        <v/>
      </c>
      <c r="BU47" s="113" t="str">
        <f t="shared" si="25"/>
        <v/>
      </c>
      <c r="BV47" s="113" t="str">
        <f t="shared" si="26"/>
        <v/>
      </c>
      <c r="BW47" s="113" t="str">
        <f t="shared" si="27"/>
        <v/>
      </c>
      <c r="BX47" s="113" t="str">
        <f t="shared" si="28"/>
        <v/>
      </c>
      <c r="BY47" s="113" t="str">
        <f t="shared" si="29"/>
        <v/>
      </c>
      <c r="BZ47" s="113" t="str">
        <f t="shared" si="30"/>
        <v/>
      </c>
      <c r="CA47" s="113" t="str">
        <f t="shared" si="31"/>
        <v/>
      </c>
      <c r="CB47" s="113" t="str">
        <f t="shared" si="32"/>
        <v/>
      </c>
      <c r="CC47" s="113" t="str">
        <f t="shared" si="33"/>
        <v/>
      </c>
      <c r="CD47" s="113" t="str">
        <f t="shared" si="34"/>
        <v/>
      </c>
      <c r="CE47" s="113" t="str">
        <f t="shared" si="35"/>
        <v/>
      </c>
      <c r="CF47" s="113" t="str">
        <f t="shared" si="36"/>
        <v/>
      </c>
      <c r="CG47" s="113" t="str">
        <f t="shared" si="37"/>
        <v/>
      </c>
      <c r="CH47" s="113" t="str">
        <f t="shared" si="38"/>
        <v/>
      </c>
      <c r="CI47" s="113" t="str">
        <f t="shared" si="39"/>
        <v/>
      </c>
      <c r="CJ47" s="113" t="str">
        <f t="shared" si="40"/>
        <v/>
      </c>
      <c r="CK47" s="113" t="str">
        <f t="shared" si="41"/>
        <v/>
      </c>
      <c r="CL47" s="113" t="str">
        <f t="shared" si="42"/>
        <v/>
      </c>
      <c r="CM47" s="113" t="str">
        <f t="shared" si="43"/>
        <v/>
      </c>
      <c r="CN47" s="113" t="str">
        <f t="shared" si="44"/>
        <v/>
      </c>
      <c r="CO47" s="113" t="str">
        <f t="shared" si="45"/>
        <v/>
      </c>
      <c r="CP47" s="113" t="str">
        <f t="shared" si="46"/>
        <v/>
      </c>
      <c r="CQ47" s="113" t="str">
        <f t="shared" si="47"/>
        <v/>
      </c>
      <c r="CR47" s="113" t="str">
        <f t="shared" si="48"/>
        <v/>
      </c>
      <c r="CS47" s="113" t="str">
        <f t="shared" si="49"/>
        <v/>
      </c>
      <c r="CT47" s="113" t="str">
        <f t="shared" si="50"/>
        <v/>
      </c>
      <c r="CU47" s="113" t="str">
        <f t="shared" si="51"/>
        <v/>
      </c>
      <c r="CV47" s="113" t="str">
        <f t="shared" si="52"/>
        <v/>
      </c>
      <c r="CW47" s="113" t="str">
        <f t="shared" si="53"/>
        <v/>
      </c>
      <c r="CX47" s="113" t="str">
        <f t="shared" si="54"/>
        <v/>
      </c>
      <c r="CY47" s="113" t="str">
        <f t="shared" si="55"/>
        <v/>
      </c>
      <c r="CZ47" s="113" t="str">
        <f t="shared" si="56"/>
        <v/>
      </c>
      <c r="DA47" s="113" t="str">
        <f t="shared" si="57"/>
        <v/>
      </c>
      <c r="DB47" s="113" t="str">
        <f t="shared" si="58"/>
        <v/>
      </c>
      <c r="DC47" s="113" t="str">
        <f t="shared" si="59"/>
        <v/>
      </c>
      <c r="DD47" s="113" t="str">
        <f t="shared" si="60"/>
        <v/>
      </c>
      <c r="DE47" s="113" t="str">
        <f t="shared" si="61"/>
        <v/>
      </c>
      <c r="DF47" s="113" t="str">
        <f t="shared" si="62"/>
        <v/>
      </c>
      <c r="DG47" s="113" t="str">
        <f t="shared" si="63"/>
        <v/>
      </c>
      <c r="DH47" s="113" t="str">
        <f t="shared" si="64"/>
        <v/>
      </c>
      <c r="DI47" s="113" t="str">
        <f t="shared" si="65"/>
        <v/>
      </c>
      <c r="DJ47" s="113" t="str">
        <f t="shared" si="66"/>
        <v/>
      </c>
      <c r="DK47" s="113" t="str">
        <f t="shared" si="67"/>
        <v/>
      </c>
      <c r="DL47" s="113" t="str">
        <f t="shared" si="68"/>
        <v/>
      </c>
      <c r="DM47" s="113" t="str">
        <f t="shared" si="69"/>
        <v/>
      </c>
      <c r="DN47" s="113" t="str">
        <f t="shared" si="70"/>
        <v/>
      </c>
      <c r="DO47" s="113" t="str">
        <f t="shared" si="71"/>
        <v/>
      </c>
      <c r="DP47" s="113" t="str">
        <f t="shared" si="72"/>
        <v/>
      </c>
      <c r="DQ47" s="113" t="str">
        <f t="shared" si="73"/>
        <v/>
      </c>
      <c r="DR47" s="113" t="str">
        <f t="shared" si="74"/>
        <v/>
      </c>
      <c r="DS47" s="113" t="str">
        <f t="shared" si="75"/>
        <v/>
      </c>
      <c r="DT47" s="113" t="str">
        <f t="shared" si="76"/>
        <v/>
      </c>
      <c r="DU47" s="113" t="str">
        <f t="shared" si="77"/>
        <v/>
      </c>
      <c r="DV47" s="113" t="str">
        <f t="shared" si="78"/>
        <v/>
      </c>
      <c r="DW47" s="113" t="str">
        <f t="shared" si="79"/>
        <v/>
      </c>
      <c r="DX47" s="113" t="str">
        <f t="shared" si="80"/>
        <v/>
      </c>
      <c r="DY47" s="113" t="str">
        <f t="shared" si="81"/>
        <v/>
      </c>
      <c r="DZ47" s="113" t="str">
        <f t="shared" si="82"/>
        <v/>
      </c>
      <c r="EA47" s="113" t="str">
        <f t="shared" si="83"/>
        <v/>
      </c>
      <c r="EB47" s="113" t="str">
        <f t="shared" si="84"/>
        <v/>
      </c>
      <c r="EC47" s="113" t="str">
        <f t="shared" si="85"/>
        <v/>
      </c>
      <c r="ED47" s="113" t="str">
        <f t="shared" si="86"/>
        <v/>
      </c>
      <c r="EE47" s="113" t="str">
        <f t="shared" si="87"/>
        <v/>
      </c>
      <c r="EF47" s="113" t="str">
        <f t="shared" si="88"/>
        <v/>
      </c>
      <c r="EG47" s="113" t="str">
        <f t="shared" si="89"/>
        <v/>
      </c>
      <c r="EH47" s="113" t="str">
        <f t="shared" si="90"/>
        <v/>
      </c>
      <c r="EI47" s="113" t="str">
        <f t="shared" si="91"/>
        <v/>
      </c>
      <c r="EJ47" s="113" t="str">
        <f t="shared" si="92"/>
        <v/>
      </c>
      <c r="EK47" s="113" t="str">
        <f t="shared" si="93"/>
        <v/>
      </c>
      <c r="EL47" s="113" t="str">
        <f t="shared" si="94"/>
        <v/>
      </c>
      <c r="EM47" s="113" t="str">
        <f t="shared" si="95"/>
        <v/>
      </c>
      <c r="EN47" s="113" t="str">
        <f t="shared" si="96"/>
        <v/>
      </c>
      <c r="EO47" s="113" t="str">
        <f t="shared" si="97"/>
        <v/>
      </c>
      <c r="EP47" s="113" t="str">
        <f t="shared" si="98"/>
        <v/>
      </c>
      <c r="EQ47" s="113" t="str">
        <f t="shared" si="99"/>
        <v/>
      </c>
      <c r="ER47" s="113" t="str">
        <f t="shared" si="100"/>
        <v/>
      </c>
      <c r="ES47" s="113" t="str">
        <f t="shared" si="101"/>
        <v/>
      </c>
      <c r="ET47" s="660" t="str">
        <f t="shared" si="102"/>
        <v/>
      </c>
      <c r="EU47" s="660" t="str">
        <f t="shared" si="103"/>
        <v/>
      </c>
      <c r="EV47" s="660" t="str">
        <f t="shared" si="104"/>
        <v/>
      </c>
      <c r="EW47" s="660" t="str">
        <f t="shared" si="105"/>
        <v/>
      </c>
      <c r="EX47" s="660" t="str">
        <f t="shared" si="106"/>
        <v/>
      </c>
      <c r="EY47" s="660" t="str">
        <f t="shared" si="107"/>
        <v/>
      </c>
      <c r="EZ47" s="660" t="str">
        <f t="shared" si="108"/>
        <v/>
      </c>
      <c r="FA47" s="660" t="str">
        <f t="shared" si="109"/>
        <v/>
      </c>
      <c r="FB47" s="660" t="str">
        <f t="shared" si="110"/>
        <v/>
      </c>
      <c r="FC47" s="660" t="str">
        <f t="shared" si="111"/>
        <v/>
      </c>
      <c r="FD47" s="660" t="str">
        <f t="shared" si="112"/>
        <v/>
      </c>
      <c r="FE47" s="660" t="str">
        <f t="shared" si="113"/>
        <v/>
      </c>
      <c r="FF47" s="660" t="str">
        <f t="shared" si="114"/>
        <v/>
      </c>
      <c r="FG47" s="660" t="str">
        <f t="shared" si="115"/>
        <v/>
      </c>
      <c r="FH47" s="660" t="str">
        <f t="shared" si="116"/>
        <v/>
      </c>
      <c r="FI47" s="660" t="str">
        <f t="shared" si="117"/>
        <v/>
      </c>
      <c r="FJ47" s="660" t="str">
        <f t="shared" si="118"/>
        <v/>
      </c>
      <c r="FK47" s="660" t="str">
        <f t="shared" si="119"/>
        <v/>
      </c>
      <c r="FL47" s="660" t="str">
        <f t="shared" si="120"/>
        <v/>
      </c>
      <c r="FM47" s="660" t="str">
        <f t="shared" si="121"/>
        <v/>
      </c>
      <c r="FN47" s="660" t="str">
        <f t="shared" si="122"/>
        <v/>
      </c>
      <c r="FO47" s="660" t="str">
        <f t="shared" si="123"/>
        <v/>
      </c>
      <c r="FP47" s="660" t="str">
        <f t="shared" si="124"/>
        <v/>
      </c>
      <c r="FQ47" s="660" t="str">
        <f t="shared" si="125"/>
        <v/>
      </c>
      <c r="FR47" s="660" t="str">
        <f t="shared" si="126"/>
        <v/>
      </c>
      <c r="FS47" s="660" t="str">
        <f t="shared" si="127"/>
        <v/>
      </c>
      <c r="FT47" s="660" t="str">
        <f t="shared" si="128"/>
        <v/>
      </c>
      <c r="FU47" s="660" t="str">
        <f t="shared" si="129"/>
        <v/>
      </c>
      <c r="FV47" s="660" t="str">
        <f t="shared" si="130"/>
        <v/>
      </c>
      <c r="FW47" s="660" t="str">
        <f t="shared" si="131"/>
        <v/>
      </c>
      <c r="FX47" s="660" t="str">
        <f t="shared" si="132"/>
        <v/>
      </c>
      <c r="FY47" s="660" t="str">
        <f t="shared" si="133"/>
        <v/>
      </c>
      <c r="FZ47" s="660" t="str">
        <f t="shared" si="134"/>
        <v/>
      </c>
      <c r="GA47" s="660" t="str">
        <f t="shared" si="135"/>
        <v/>
      </c>
      <c r="GB47" s="660" t="str">
        <f t="shared" si="136"/>
        <v/>
      </c>
      <c r="GC47" s="660" t="str">
        <f t="shared" si="137"/>
        <v/>
      </c>
      <c r="GD47" s="660" t="str">
        <f t="shared" si="138"/>
        <v/>
      </c>
      <c r="GE47" s="660" t="str">
        <f t="shared" si="139"/>
        <v/>
      </c>
      <c r="GF47" s="660" t="str">
        <f t="shared" si="140"/>
        <v/>
      </c>
      <c r="GG47" s="660" t="str">
        <f t="shared" si="141"/>
        <v/>
      </c>
      <c r="GH47" s="660" t="str">
        <f t="shared" si="142"/>
        <v/>
      </c>
      <c r="GI47" s="660" t="str">
        <f t="shared" si="143"/>
        <v/>
      </c>
      <c r="GJ47" s="660" t="str">
        <f t="shared" si="144"/>
        <v/>
      </c>
      <c r="GK47" s="660" t="str">
        <f t="shared" si="145"/>
        <v/>
      </c>
      <c r="GL47" s="660" t="str">
        <f t="shared" si="146"/>
        <v/>
      </c>
      <c r="GM47" s="661" t="str">
        <f t="shared" si="147"/>
        <v/>
      </c>
      <c r="GN47" s="661" t="str">
        <f t="shared" si="148"/>
        <v/>
      </c>
      <c r="GO47" s="661" t="str">
        <f t="shared" si="149"/>
        <v/>
      </c>
      <c r="GP47" s="661" t="str">
        <f t="shared" si="150"/>
        <v/>
      </c>
      <c r="GQ47" s="661" t="str">
        <f t="shared" si="151"/>
        <v/>
      </c>
      <c r="GR47" s="113" t="str">
        <f t="shared" si="152"/>
        <v/>
      </c>
      <c r="GS47" s="113" t="str">
        <f t="shared" si="153"/>
        <v/>
      </c>
      <c r="GT47" s="113" t="str">
        <f t="shared" si="154"/>
        <v/>
      </c>
      <c r="GU47" s="113" t="str">
        <f t="shared" si="155"/>
        <v/>
      </c>
      <c r="GV47" s="113" t="str">
        <f t="shared" si="156"/>
        <v/>
      </c>
      <c r="GW47" s="113" t="str">
        <f t="shared" si="157"/>
        <v/>
      </c>
      <c r="GX47" s="113" t="str">
        <f t="shared" si="158"/>
        <v/>
      </c>
      <c r="GY47" s="113" t="str">
        <f t="shared" si="159"/>
        <v/>
      </c>
      <c r="GZ47" s="113" t="str">
        <f t="shared" si="160"/>
        <v/>
      </c>
      <c r="HA47" s="113" t="str">
        <f t="shared" si="161"/>
        <v/>
      </c>
      <c r="HB47" s="113" t="str">
        <f t="shared" si="162"/>
        <v/>
      </c>
      <c r="HC47" s="113" t="str">
        <f t="shared" si="163"/>
        <v/>
      </c>
      <c r="HD47" s="113" t="str">
        <f t="shared" si="164"/>
        <v/>
      </c>
      <c r="HE47" s="113" t="str">
        <f t="shared" si="165"/>
        <v/>
      </c>
      <c r="HF47" s="113" t="str">
        <f t="shared" si="166"/>
        <v/>
      </c>
      <c r="HG47" s="113" t="str">
        <f t="shared" si="167"/>
        <v/>
      </c>
      <c r="HH47" s="113" t="str">
        <f t="shared" si="168"/>
        <v/>
      </c>
      <c r="HI47" s="113" t="str">
        <f t="shared" si="169"/>
        <v/>
      </c>
      <c r="HJ47" s="113" t="str">
        <f t="shared" si="170"/>
        <v/>
      </c>
      <c r="HK47" s="113" t="str">
        <f t="shared" si="171"/>
        <v/>
      </c>
    </row>
    <row r="48" spans="1:219" ht="14.4" customHeight="1">
      <c r="A48" s="230">
        <f>COUNT(A10,A11,A12,A13,A14,A15,A16,A17,A18,A19,A20,A21,A22,A23,A24,A25,A26,A27,A28,A29,A30,A31,A32,A33,A34,A35,A36,A37,A38,A39)</f>
        <v>0</v>
      </c>
      <c r="B48" s="97"/>
      <c r="C48" s="2"/>
      <c r="D48" s="17" t="s">
        <v>1633</v>
      </c>
      <c r="E48" s="170">
        <f>SUM(E10:E47)</f>
        <v>49</v>
      </c>
      <c r="F48" s="171">
        <f>(E10*F10+E11*F11+E12*F12+E13*F13+E14*F14+E15*F15+E16*F16+E17*F17+E18*F18+E19*F19+E20*F20+E21*F21+E22*F22+E23*F23+E24*F24+E25*F25+E26*F26+E27*F27+E28*F28+E29*F29+E30*F30+E31*F31+E32*F32+E33*F33+E34*F34+E35*F35+E36*F36+E37*F37+E38*F38+E39*F39+E40*F40+E41*F41+E42*F42+E43*F43+E44*F44+E45*F45+E46*F46+E47*F47)</f>
        <v>39987</v>
      </c>
      <c r="G48" s="162"/>
      <c r="H48" s="163"/>
      <c r="I48" s="163"/>
      <c r="J48" s="163"/>
      <c r="K48" s="15" t="s">
        <v>2001</v>
      </c>
      <c r="L48" s="169">
        <f>SUM(L10:L47)</f>
        <v>19088</v>
      </c>
      <c r="M48" s="2"/>
      <c r="N48" s="42"/>
      <c r="O48" s="2"/>
      <c r="P48" s="122"/>
      <c r="Q48" s="122"/>
      <c r="R48" s="739"/>
      <c r="S48" s="446"/>
      <c r="T48" s="446">
        <f t="shared" ref="T48:CI48" si="410">SUM(T10:T47)</f>
        <v>0</v>
      </c>
      <c r="U48" s="446">
        <f t="shared" si="410"/>
        <v>12</v>
      </c>
      <c r="V48" s="446">
        <f t="shared" si="410"/>
        <v>28</v>
      </c>
      <c r="W48" s="446">
        <f t="shared" si="410"/>
        <v>0</v>
      </c>
      <c r="X48" s="446">
        <f t="shared" si="410"/>
        <v>0</v>
      </c>
      <c r="Y48" s="446">
        <f t="shared" si="410"/>
        <v>0</v>
      </c>
      <c r="Z48" s="446">
        <f t="shared" si="410"/>
        <v>4</v>
      </c>
      <c r="AA48" s="446">
        <f t="shared" si="410"/>
        <v>4</v>
      </c>
      <c r="AB48" s="446">
        <f t="shared" si="410"/>
        <v>0</v>
      </c>
      <c r="AC48" s="446">
        <f t="shared" si="410"/>
        <v>0</v>
      </c>
      <c r="AD48" s="446">
        <f t="shared" si="410"/>
        <v>0</v>
      </c>
      <c r="AE48" s="446">
        <f t="shared" si="410"/>
        <v>0</v>
      </c>
      <c r="AF48" s="446">
        <f t="shared" si="410"/>
        <v>0</v>
      </c>
      <c r="AG48" s="446">
        <f t="shared" si="410"/>
        <v>0</v>
      </c>
      <c r="AH48" s="446">
        <f t="shared" si="410"/>
        <v>0</v>
      </c>
      <c r="AI48" s="446">
        <f t="shared" si="410"/>
        <v>0</v>
      </c>
      <c r="AJ48" s="446">
        <f t="shared" si="410"/>
        <v>0</v>
      </c>
      <c r="AK48" s="446">
        <f t="shared" si="410"/>
        <v>0</v>
      </c>
      <c r="AL48" s="446">
        <f t="shared" si="410"/>
        <v>0</v>
      </c>
      <c r="AM48" s="446">
        <f t="shared" si="410"/>
        <v>0</v>
      </c>
      <c r="AN48" s="446">
        <f t="shared" si="410"/>
        <v>0</v>
      </c>
      <c r="AO48" s="446">
        <f t="shared" si="410"/>
        <v>0</v>
      </c>
      <c r="AP48" s="446">
        <f t="shared" si="410"/>
        <v>0</v>
      </c>
      <c r="AQ48" s="446">
        <f t="shared" si="410"/>
        <v>0</v>
      </c>
      <c r="AR48" s="446">
        <f t="shared" si="410"/>
        <v>0</v>
      </c>
      <c r="AS48" s="446">
        <f t="shared" si="410"/>
        <v>0</v>
      </c>
      <c r="AT48" s="446">
        <f t="shared" si="410"/>
        <v>4</v>
      </c>
      <c r="AU48" s="446">
        <f t="shared" si="410"/>
        <v>4</v>
      </c>
      <c r="AV48" s="446">
        <f t="shared" si="410"/>
        <v>0</v>
      </c>
      <c r="AW48" s="446">
        <f t="shared" si="410"/>
        <v>0</v>
      </c>
      <c r="AX48" s="446">
        <f t="shared" si="410"/>
        <v>0</v>
      </c>
      <c r="AY48" s="446">
        <f t="shared" si="410"/>
        <v>9</v>
      </c>
      <c r="AZ48" s="446">
        <f t="shared" si="410"/>
        <v>21</v>
      </c>
      <c r="BA48" s="446">
        <f t="shared" si="410"/>
        <v>0</v>
      </c>
      <c r="BB48" s="446">
        <f t="shared" si="410"/>
        <v>0</v>
      </c>
      <c r="BC48" s="446">
        <f t="shared" ref="BC48:BQ48" si="411">SUM(BC10:BC47)</f>
        <v>0</v>
      </c>
      <c r="BD48" s="446">
        <f t="shared" si="411"/>
        <v>0</v>
      </c>
      <c r="BE48" s="446">
        <f t="shared" si="411"/>
        <v>0</v>
      </c>
      <c r="BF48" s="446">
        <f t="shared" si="411"/>
        <v>0</v>
      </c>
      <c r="BG48" s="446">
        <f t="shared" si="411"/>
        <v>0</v>
      </c>
      <c r="BH48" s="446">
        <f t="shared" si="411"/>
        <v>0</v>
      </c>
      <c r="BI48" s="446">
        <f t="shared" si="411"/>
        <v>0</v>
      </c>
      <c r="BJ48" s="446">
        <f t="shared" si="411"/>
        <v>0</v>
      </c>
      <c r="BK48" s="446">
        <f t="shared" si="411"/>
        <v>0</v>
      </c>
      <c r="BL48" s="446">
        <f t="shared" si="411"/>
        <v>0</v>
      </c>
      <c r="BM48" s="446">
        <f t="shared" si="411"/>
        <v>0</v>
      </c>
      <c r="BN48" s="446">
        <f t="shared" si="411"/>
        <v>0</v>
      </c>
      <c r="BO48" s="446">
        <f t="shared" si="411"/>
        <v>0</v>
      </c>
      <c r="BP48" s="446">
        <f t="shared" si="411"/>
        <v>0</v>
      </c>
      <c r="BQ48" s="446">
        <f t="shared" si="411"/>
        <v>0</v>
      </c>
      <c r="BR48" s="446">
        <f t="shared" si="410"/>
        <v>0</v>
      </c>
      <c r="BS48" s="446">
        <f t="shared" si="410"/>
        <v>0</v>
      </c>
      <c r="BT48" s="446">
        <f t="shared" si="410"/>
        <v>1</v>
      </c>
      <c r="BU48" s="446">
        <f t="shared" si="410"/>
        <v>0</v>
      </c>
      <c r="BV48" s="446">
        <f t="shared" si="410"/>
        <v>0</v>
      </c>
      <c r="BW48" s="446">
        <f t="shared" si="410"/>
        <v>0</v>
      </c>
      <c r="BX48" s="446">
        <f t="shared" si="410"/>
        <v>8460</v>
      </c>
      <c r="BY48" s="446">
        <f t="shared" si="410"/>
        <v>24332</v>
      </c>
      <c r="BZ48" s="446">
        <f t="shared" si="410"/>
        <v>0</v>
      </c>
      <c r="CA48" s="446">
        <f t="shared" si="410"/>
        <v>0</v>
      </c>
      <c r="CB48" s="446">
        <f t="shared" si="410"/>
        <v>0</v>
      </c>
      <c r="CC48" s="446">
        <f t="shared" si="410"/>
        <v>2820</v>
      </c>
      <c r="CD48" s="446">
        <f t="shared" si="410"/>
        <v>3476</v>
      </c>
      <c r="CE48" s="446">
        <f t="shared" si="410"/>
        <v>0</v>
      </c>
      <c r="CF48" s="446">
        <f t="shared" si="410"/>
        <v>0</v>
      </c>
      <c r="CG48" s="446">
        <f t="shared" si="410"/>
        <v>0</v>
      </c>
      <c r="CH48" s="446">
        <f t="shared" si="410"/>
        <v>0</v>
      </c>
      <c r="CI48" s="446">
        <f t="shared" si="410"/>
        <v>0</v>
      </c>
      <c r="CJ48" s="446">
        <f t="shared" ref="CJ48:EN48" si="412">SUM(CJ10:CJ47)</f>
        <v>0</v>
      </c>
      <c r="CK48" s="446">
        <f t="shared" si="412"/>
        <v>0</v>
      </c>
      <c r="CL48" s="446">
        <f t="shared" si="412"/>
        <v>0</v>
      </c>
      <c r="CM48" s="446">
        <f t="shared" si="412"/>
        <v>0</v>
      </c>
      <c r="CN48" s="446">
        <f t="shared" si="412"/>
        <v>0</v>
      </c>
      <c r="CO48" s="446">
        <f t="shared" si="412"/>
        <v>0</v>
      </c>
      <c r="CP48" s="446">
        <f t="shared" si="412"/>
        <v>0</v>
      </c>
      <c r="CQ48" s="446">
        <f t="shared" si="412"/>
        <v>0</v>
      </c>
      <c r="CR48" s="446">
        <f t="shared" si="412"/>
        <v>9152</v>
      </c>
      <c r="CS48" s="446">
        <f t="shared" si="412"/>
        <v>21739</v>
      </c>
      <c r="CT48" s="446">
        <f t="shared" si="412"/>
        <v>0</v>
      </c>
      <c r="CU48" s="446">
        <f t="shared" si="412"/>
        <v>0</v>
      </c>
      <c r="CV48" s="446">
        <f t="shared" si="412"/>
        <v>0</v>
      </c>
      <c r="CW48" s="446">
        <f t="shared" si="412"/>
        <v>0</v>
      </c>
      <c r="CX48" s="446">
        <f t="shared" si="412"/>
        <v>899</v>
      </c>
      <c r="CY48" s="446">
        <f t="shared" si="412"/>
        <v>0</v>
      </c>
      <c r="CZ48" s="446">
        <f t="shared" si="412"/>
        <v>0</v>
      </c>
      <c r="DA48" s="446">
        <f t="shared" si="412"/>
        <v>0</v>
      </c>
      <c r="DB48" s="446">
        <f t="shared" si="412"/>
        <v>0</v>
      </c>
      <c r="DC48" s="446">
        <f t="shared" si="412"/>
        <v>0</v>
      </c>
      <c r="DD48" s="446">
        <f t="shared" si="412"/>
        <v>0</v>
      </c>
      <c r="DE48" s="446">
        <f t="shared" si="412"/>
        <v>0</v>
      </c>
      <c r="DF48" s="446">
        <f t="shared" si="412"/>
        <v>0</v>
      </c>
      <c r="DG48" s="446">
        <f t="shared" si="412"/>
        <v>0</v>
      </c>
      <c r="DH48" s="446">
        <f t="shared" si="412"/>
        <v>0</v>
      </c>
      <c r="DI48" s="446">
        <f t="shared" si="412"/>
        <v>0</v>
      </c>
      <c r="DJ48" s="446">
        <f t="shared" si="412"/>
        <v>0</v>
      </c>
      <c r="DK48" s="446">
        <f>SUM(DK10:DK47)</f>
        <v>0</v>
      </c>
      <c r="DL48" s="446">
        <f>SUM(DL10:DL47)</f>
        <v>0</v>
      </c>
      <c r="DM48" s="446">
        <f>SUM(DM10:DM47)</f>
        <v>0</v>
      </c>
      <c r="DN48" s="446">
        <f>SUM(DN10:DN47)</f>
        <v>0</v>
      </c>
      <c r="DO48" s="446">
        <f>SUM(DO10:DO47)</f>
        <v>0</v>
      </c>
      <c r="DP48" s="446">
        <f t="shared" si="412"/>
        <v>0</v>
      </c>
      <c r="DQ48" s="446">
        <f t="shared" si="412"/>
        <v>16</v>
      </c>
      <c r="DR48" s="446">
        <f t="shared" si="412"/>
        <v>32</v>
      </c>
      <c r="DS48" s="446">
        <f t="shared" si="412"/>
        <v>0</v>
      </c>
      <c r="DT48" s="446">
        <f t="shared" si="412"/>
        <v>0</v>
      </c>
      <c r="DU48" s="446">
        <f t="shared" si="412"/>
        <v>0</v>
      </c>
      <c r="DV48" s="446">
        <f t="shared" si="412"/>
        <v>0</v>
      </c>
      <c r="DW48" s="446">
        <f t="shared" si="412"/>
        <v>0</v>
      </c>
      <c r="DX48" s="446">
        <f t="shared" si="412"/>
        <v>0</v>
      </c>
      <c r="DY48" s="446">
        <f t="shared" si="412"/>
        <v>0</v>
      </c>
      <c r="DZ48" s="446">
        <f>SUM(DZ10:DZ47)</f>
        <v>0</v>
      </c>
      <c r="EA48" s="446">
        <f>SUM(EA10:EA47)</f>
        <v>0</v>
      </c>
      <c r="EB48" s="446">
        <f>SUM(EB10:EB47)</f>
        <v>1</v>
      </c>
      <c r="EC48" s="446">
        <f>SUM(EC10:EC47)</f>
        <v>0</v>
      </c>
      <c r="ED48" s="446">
        <f>SUM(ED10:ED47)</f>
        <v>0</v>
      </c>
      <c r="EE48" s="446">
        <f t="shared" si="412"/>
        <v>0</v>
      </c>
      <c r="EF48" s="446">
        <f t="shared" si="412"/>
        <v>0</v>
      </c>
      <c r="EG48" s="446">
        <f t="shared" si="412"/>
        <v>0</v>
      </c>
      <c r="EH48" s="446">
        <f t="shared" si="412"/>
        <v>0</v>
      </c>
      <c r="EI48" s="446">
        <f t="shared" si="412"/>
        <v>0</v>
      </c>
      <c r="EJ48" s="446">
        <f t="shared" si="412"/>
        <v>0</v>
      </c>
      <c r="EK48" s="446">
        <f t="shared" si="412"/>
        <v>0</v>
      </c>
      <c r="EL48" s="446">
        <f t="shared" si="412"/>
        <v>0</v>
      </c>
      <c r="EM48" s="446">
        <f t="shared" si="412"/>
        <v>0</v>
      </c>
      <c r="EN48" s="446">
        <f t="shared" si="412"/>
        <v>0</v>
      </c>
      <c r="EO48" s="446">
        <f>SUM(EO10:EO47)</f>
        <v>0</v>
      </c>
      <c r="EP48" s="446">
        <f>SUM(EP10:EP47)</f>
        <v>0</v>
      </c>
      <c r="EQ48" s="446">
        <f>SUM(EQ10:EQ47)</f>
        <v>0</v>
      </c>
      <c r="ER48" s="446">
        <f>SUM(ER10:ER47)</f>
        <v>0</v>
      </c>
      <c r="ES48" s="446">
        <f>SUM(ES10:ES47)</f>
        <v>0</v>
      </c>
      <c r="ET48" s="446">
        <f t="shared" ref="ET48:GL48" si="413">SUM(ET10:ET47)</f>
        <v>0</v>
      </c>
      <c r="EU48" s="446">
        <f t="shared" si="413"/>
        <v>16</v>
      </c>
      <c r="EV48" s="446">
        <f t="shared" si="413"/>
        <v>33</v>
      </c>
      <c r="EW48" s="446">
        <f t="shared" si="413"/>
        <v>0</v>
      </c>
      <c r="EX48" s="446">
        <f t="shared" si="413"/>
        <v>0</v>
      </c>
      <c r="EY48" s="446">
        <f t="shared" si="413"/>
        <v>0</v>
      </c>
      <c r="EZ48" s="446">
        <f t="shared" si="413"/>
        <v>0</v>
      </c>
      <c r="FA48" s="446">
        <f t="shared" si="413"/>
        <v>0</v>
      </c>
      <c r="FB48" s="446">
        <f t="shared" si="413"/>
        <v>0</v>
      </c>
      <c r="FC48" s="446">
        <f t="shared" si="413"/>
        <v>0</v>
      </c>
      <c r="FD48" s="446">
        <f t="shared" si="413"/>
        <v>0</v>
      </c>
      <c r="FE48" s="446">
        <f t="shared" si="413"/>
        <v>0</v>
      </c>
      <c r="FF48" s="446">
        <f t="shared" si="413"/>
        <v>0</v>
      </c>
      <c r="FG48" s="446">
        <f t="shared" si="413"/>
        <v>0</v>
      </c>
      <c r="FH48" s="446">
        <f t="shared" si="413"/>
        <v>0</v>
      </c>
      <c r="FI48" s="446">
        <f t="shared" si="413"/>
        <v>0</v>
      </c>
      <c r="FJ48" s="446">
        <f t="shared" si="413"/>
        <v>0</v>
      </c>
      <c r="FK48" s="446">
        <f t="shared" si="413"/>
        <v>0</v>
      </c>
      <c r="FL48" s="446">
        <f t="shared" si="413"/>
        <v>0</v>
      </c>
      <c r="FM48" s="446">
        <f t="shared" si="413"/>
        <v>0</v>
      </c>
      <c r="FN48" s="446">
        <f t="shared" si="413"/>
        <v>0</v>
      </c>
      <c r="FO48" s="446">
        <f t="shared" si="413"/>
        <v>0</v>
      </c>
      <c r="FP48" s="446">
        <f t="shared" si="413"/>
        <v>0</v>
      </c>
      <c r="FQ48" s="446">
        <f t="shared" si="413"/>
        <v>0</v>
      </c>
      <c r="FR48" s="446">
        <f t="shared" si="413"/>
        <v>0</v>
      </c>
      <c r="FS48" s="446">
        <f t="shared" si="413"/>
        <v>0</v>
      </c>
      <c r="FT48" s="446">
        <f t="shared" si="413"/>
        <v>0</v>
      </c>
      <c r="FU48" s="446">
        <f t="shared" si="413"/>
        <v>1</v>
      </c>
      <c r="FV48" s="446">
        <f t="shared" si="413"/>
        <v>0</v>
      </c>
      <c r="FW48" s="446">
        <f t="shared" si="413"/>
        <v>0</v>
      </c>
      <c r="FX48" s="446">
        <f t="shared" si="413"/>
        <v>0</v>
      </c>
      <c r="FY48" s="446">
        <f t="shared" si="413"/>
        <v>16</v>
      </c>
      <c r="FZ48" s="446">
        <f t="shared" si="413"/>
        <v>32</v>
      </c>
      <c r="GA48" s="446">
        <f t="shared" si="413"/>
        <v>0</v>
      </c>
      <c r="GB48" s="446">
        <f t="shared" si="413"/>
        <v>0</v>
      </c>
      <c r="GC48" s="446">
        <f t="shared" si="413"/>
        <v>0</v>
      </c>
      <c r="GD48" s="446">
        <f t="shared" si="413"/>
        <v>0</v>
      </c>
      <c r="GE48" s="446">
        <f t="shared" si="413"/>
        <v>0</v>
      </c>
      <c r="GF48" s="446">
        <f t="shared" si="413"/>
        <v>0</v>
      </c>
      <c r="GG48" s="446">
        <f t="shared" si="413"/>
        <v>0</v>
      </c>
      <c r="GH48" s="446">
        <f t="shared" si="413"/>
        <v>0</v>
      </c>
      <c r="GI48" s="446">
        <f t="shared" si="413"/>
        <v>0</v>
      </c>
      <c r="GJ48" s="446">
        <f t="shared" si="413"/>
        <v>0</v>
      </c>
      <c r="GK48" s="446">
        <f t="shared" si="413"/>
        <v>0</v>
      </c>
      <c r="GL48" s="446">
        <f t="shared" si="413"/>
        <v>0</v>
      </c>
      <c r="GM48" s="446">
        <f t="shared" ref="GM48:HK48" si="414">SUM(GM10:GM47)</f>
        <v>0</v>
      </c>
      <c r="GN48" s="446">
        <f t="shared" si="414"/>
        <v>0</v>
      </c>
      <c r="GO48" s="446">
        <f t="shared" si="414"/>
        <v>0</v>
      </c>
      <c r="GP48" s="446">
        <f t="shared" si="414"/>
        <v>0</v>
      </c>
      <c r="GQ48" s="446">
        <f t="shared" si="414"/>
        <v>0</v>
      </c>
      <c r="GR48" s="446">
        <f t="shared" si="414"/>
        <v>0</v>
      </c>
      <c r="GS48" s="446">
        <f t="shared" si="414"/>
        <v>0</v>
      </c>
      <c r="GT48" s="446">
        <f t="shared" si="414"/>
        <v>0</v>
      </c>
      <c r="GU48" s="446">
        <f t="shared" si="414"/>
        <v>0</v>
      </c>
      <c r="GV48" s="446">
        <f t="shared" si="414"/>
        <v>0</v>
      </c>
      <c r="GW48" s="446">
        <f t="shared" si="414"/>
        <v>0</v>
      </c>
      <c r="GX48" s="446">
        <f t="shared" si="414"/>
        <v>0</v>
      </c>
      <c r="GY48" s="446">
        <f t="shared" si="414"/>
        <v>0</v>
      </c>
      <c r="GZ48" s="446">
        <f t="shared" si="414"/>
        <v>0</v>
      </c>
      <c r="HA48" s="446">
        <f t="shared" si="414"/>
        <v>0</v>
      </c>
      <c r="HB48" s="446">
        <f t="shared" si="414"/>
        <v>0</v>
      </c>
      <c r="HC48" s="446">
        <f t="shared" si="414"/>
        <v>0</v>
      </c>
      <c r="HD48" s="446">
        <f t="shared" si="414"/>
        <v>0</v>
      </c>
      <c r="HE48" s="446">
        <f t="shared" si="414"/>
        <v>0</v>
      </c>
      <c r="HF48" s="446">
        <f t="shared" si="414"/>
        <v>0</v>
      </c>
      <c r="HG48" s="446">
        <f t="shared" si="414"/>
        <v>0</v>
      </c>
      <c r="HH48" s="446">
        <f t="shared" si="414"/>
        <v>0</v>
      </c>
      <c r="HI48" s="446">
        <f t="shared" si="414"/>
        <v>0</v>
      </c>
      <c r="HJ48" s="446">
        <f t="shared" si="414"/>
        <v>0</v>
      </c>
      <c r="HK48" s="446">
        <f t="shared" si="414"/>
        <v>0</v>
      </c>
    </row>
    <row r="49" spans="1:221" ht="14.4" customHeight="1">
      <c r="A49" s="113"/>
      <c r="B49" s="6"/>
      <c r="D49" s="17"/>
      <c r="E49" s="224"/>
      <c r="F49" s="224"/>
      <c r="G49" s="163"/>
      <c r="H49" s="163"/>
      <c r="I49" s="163"/>
      <c r="J49" s="163"/>
      <c r="K49" s="17" t="s">
        <v>1395</v>
      </c>
      <c r="L49" s="169">
        <f>L48*12</f>
        <v>229056</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505" t="s">
        <v>3647</v>
      </c>
      <c r="B51" s="913"/>
      <c r="C51" s="913"/>
      <c r="D51" s="913"/>
      <c r="E51" s="913"/>
      <c r="F51" s="913"/>
      <c r="G51" s="913"/>
      <c r="H51" s="913"/>
      <c r="I51" s="913"/>
      <c r="J51" s="913"/>
      <c r="K51" s="913"/>
      <c r="L51" s="913"/>
      <c r="M51" s="913"/>
      <c r="N51" s="913"/>
      <c r="O51" s="913"/>
      <c r="P51" s="913"/>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13"/>
      <c r="B52" s="913"/>
      <c r="C52" s="913"/>
      <c r="D52" s="913"/>
      <c r="E52" s="913"/>
      <c r="F52" s="913"/>
      <c r="G52" s="913"/>
      <c r="H52" s="913"/>
      <c r="I52" s="913"/>
      <c r="J52" s="913"/>
      <c r="K52" s="913"/>
      <c r="L52" s="913"/>
      <c r="M52" s="913"/>
      <c r="N52" s="913"/>
      <c r="O52" s="913"/>
      <c r="P52" s="913"/>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1228</v>
      </c>
      <c r="B54" s="16" t="s">
        <v>826</v>
      </c>
      <c r="O54" s="113"/>
      <c r="Q54" s="149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1493"/>
      <c r="R55" s="172"/>
      <c r="S55" s="678"/>
      <c r="T55" s="207"/>
      <c r="U55" s="207"/>
      <c r="V55" s="207"/>
      <c r="W55" s="207"/>
      <c r="X55" s="207"/>
      <c r="Y55" s="207"/>
      <c r="Z55" s="207"/>
      <c r="AA55" s="207"/>
      <c r="AB55" s="207"/>
      <c r="AC55" s="207"/>
      <c r="AD55" s="207"/>
      <c r="AE55" s="207"/>
      <c r="AF55" s="122"/>
      <c r="GU55" s="172"/>
      <c r="HJ55" s="113"/>
    </row>
    <row r="56" spans="1:221" ht="14.4" customHeight="1">
      <c r="A56" s="16"/>
      <c r="B56" s="16" t="s">
        <v>1775</v>
      </c>
      <c r="H56" s="164" t="s">
        <v>864</v>
      </c>
      <c r="I56" s="164" t="s">
        <v>827</v>
      </c>
      <c r="J56" s="164" t="s">
        <v>828</v>
      </c>
      <c r="K56" s="164" t="s">
        <v>829</v>
      </c>
      <c r="L56" s="164" t="s">
        <v>830</v>
      </c>
      <c r="M56" s="164" t="s">
        <v>831</v>
      </c>
      <c r="O56" s="113"/>
      <c r="Q56" s="149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12</v>
      </c>
      <c r="J57" s="381">
        <f>V48</f>
        <v>28</v>
      </c>
      <c r="K57" s="381">
        <f>W48</f>
        <v>0</v>
      </c>
      <c r="L57" s="381">
        <f>X48</f>
        <v>0</v>
      </c>
      <c r="M57" s="381">
        <f t="shared" ref="M57:M63" si="415">SUM(H57:L57)</f>
        <v>40</v>
      </c>
      <c r="N57" s="1496" t="s">
        <v>1482</v>
      </c>
      <c r="O57" s="1497"/>
      <c r="P57" s="737"/>
      <c r="Q57" s="680">
        <f t="shared" ref="Q57:Q63" si="416">ABS(M57-AD57)</f>
        <v>0</v>
      </c>
      <c r="S57" s="207"/>
      <c r="T57" s="447" t="s">
        <v>1777</v>
      </c>
      <c r="U57" s="447"/>
      <c r="V57" s="447"/>
      <c r="W57" s="447"/>
      <c r="X57" s="448" t="s">
        <v>1790</v>
      </c>
      <c r="Y57" s="449">
        <f>T48</f>
        <v>0</v>
      </c>
      <c r="Z57" s="449">
        <f>U48</f>
        <v>12</v>
      </c>
      <c r="AA57" s="449">
        <f>V48</f>
        <v>28</v>
      </c>
      <c r="AB57" s="449">
        <f>W48</f>
        <v>0</v>
      </c>
      <c r="AC57" s="449">
        <f>X48</f>
        <v>0</v>
      </c>
      <c r="AD57" s="449">
        <f t="shared" ref="AD57:AD63" si="417">SUM(Y57:AC57)</f>
        <v>40</v>
      </c>
      <c r="AE57" s="448" t="s">
        <v>1554</v>
      </c>
      <c r="AF57" s="122"/>
      <c r="GU57" s="172"/>
      <c r="HJ57" s="113"/>
    </row>
    <row r="58" spans="1:221" ht="15" customHeight="1">
      <c r="A58" s="1465" t="s">
        <v>652</v>
      </c>
      <c r="B58" s="1465"/>
      <c r="C58" s="5"/>
      <c r="D58" s="2"/>
      <c r="E58" s="2"/>
      <c r="F58" s="2"/>
      <c r="G58" s="46" t="s">
        <v>133</v>
      </c>
      <c r="H58" s="382">
        <f>Y48</f>
        <v>0</v>
      </c>
      <c r="I58" s="382">
        <f>Z48</f>
        <v>4</v>
      </c>
      <c r="J58" s="382">
        <f>AA48</f>
        <v>4</v>
      </c>
      <c r="K58" s="382">
        <f>AB48</f>
        <v>0</v>
      </c>
      <c r="L58" s="382">
        <f>AC48</f>
        <v>0</v>
      </c>
      <c r="M58" s="382">
        <f t="shared" si="415"/>
        <v>8</v>
      </c>
      <c r="N58" s="1496"/>
      <c r="O58" s="1497"/>
      <c r="P58" s="737"/>
      <c r="Q58" s="680">
        <f t="shared" si="416"/>
        <v>0</v>
      </c>
      <c r="S58" s="207"/>
      <c r="T58" s="231"/>
      <c r="U58" s="447"/>
      <c r="V58" s="447"/>
      <c r="W58" s="447"/>
      <c r="X58" s="448" t="s">
        <v>133</v>
      </c>
      <c r="Y58" s="449">
        <f>Y48</f>
        <v>0</v>
      </c>
      <c r="Z58" s="449">
        <f>Z48</f>
        <v>4</v>
      </c>
      <c r="AA58" s="449">
        <f>AA48</f>
        <v>4</v>
      </c>
      <c r="AB58" s="449">
        <f>AB48</f>
        <v>0</v>
      </c>
      <c r="AC58" s="449">
        <f>AC48</f>
        <v>0</v>
      </c>
      <c r="AD58" s="449">
        <f t="shared" si="417"/>
        <v>8</v>
      </c>
      <c r="AE58" s="448"/>
      <c r="AF58" s="122"/>
      <c r="GU58" s="172"/>
      <c r="HJ58" s="113"/>
    </row>
    <row r="59" spans="1:221" ht="15" customHeight="1">
      <c r="A59" s="1465"/>
      <c r="B59" s="1465"/>
      <c r="C59" s="5"/>
      <c r="D59" s="2"/>
      <c r="E59" s="2"/>
      <c r="F59" s="2"/>
      <c r="G59" s="46" t="s">
        <v>831</v>
      </c>
      <c r="H59" s="383">
        <f>SUM(H57:H58)</f>
        <v>0</v>
      </c>
      <c r="I59" s="383">
        <f>SUM(I57:I58)</f>
        <v>16</v>
      </c>
      <c r="J59" s="383">
        <f>SUM(J57:J58)</f>
        <v>32</v>
      </c>
      <c r="K59" s="383">
        <f>SUM(K57:K58)</f>
        <v>0</v>
      </c>
      <c r="L59" s="383">
        <f>SUM(L57:L58)</f>
        <v>0</v>
      </c>
      <c r="M59" s="383">
        <f t="shared" si="415"/>
        <v>48</v>
      </c>
      <c r="N59" s="386"/>
      <c r="O59" s="113"/>
      <c r="Q59" s="680">
        <f t="shared" si="416"/>
        <v>0</v>
      </c>
      <c r="S59" s="207"/>
      <c r="T59" s="231"/>
      <c r="U59" s="447"/>
      <c r="V59" s="447"/>
      <c r="W59" s="447"/>
      <c r="X59" s="448" t="s">
        <v>831</v>
      </c>
      <c r="Y59" s="449">
        <f>SUM(Y57:Y58)</f>
        <v>0</v>
      </c>
      <c r="Z59" s="449">
        <f>SUM(Z57:Z58)</f>
        <v>16</v>
      </c>
      <c r="AA59" s="449">
        <f>SUM(AA57:AA58)</f>
        <v>32</v>
      </c>
      <c r="AB59" s="449">
        <f>SUM(AB57:AB58)</f>
        <v>0</v>
      </c>
      <c r="AC59" s="449">
        <f>SUM(AC57:AC58)</f>
        <v>0</v>
      </c>
      <c r="AD59" s="449">
        <f t="shared" si="417"/>
        <v>48</v>
      </c>
      <c r="AE59" s="448"/>
      <c r="AF59" s="122"/>
      <c r="GU59" s="172"/>
      <c r="HJ59" s="113"/>
    </row>
    <row r="60" spans="1:221" ht="15" customHeight="1">
      <c r="A60" s="1465"/>
      <c r="B60" s="1465"/>
      <c r="C60" s="2" t="s">
        <v>396</v>
      </c>
      <c r="D60" s="2"/>
      <c r="E60" s="2"/>
      <c r="F60" s="2"/>
      <c r="G60" s="46"/>
      <c r="H60" s="383">
        <f>AI48</f>
        <v>0</v>
      </c>
      <c r="I60" s="383">
        <f>AJ48</f>
        <v>0</v>
      </c>
      <c r="J60" s="383">
        <f>AK48</f>
        <v>0</v>
      </c>
      <c r="K60" s="383">
        <f>AL48</f>
        <v>0</v>
      </c>
      <c r="L60" s="383">
        <f>AM48</f>
        <v>0</v>
      </c>
      <c r="M60" s="383">
        <f t="shared" si="415"/>
        <v>0</v>
      </c>
      <c r="N60" s="68"/>
      <c r="O60" s="113"/>
      <c r="Q60" s="680">
        <f t="shared" si="416"/>
        <v>0</v>
      </c>
      <c r="S60" s="207"/>
      <c r="T60" s="122" t="s">
        <v>396</v>
      </c>
      <c r="U60" s="447"/>
      <c r="V60" s="447"/>
      <c r="W60" s="447"/>
      <c r="X60" s="448"/>
      <c r="Y60" s="449">
        <f>AI48</f>
        <v>0</v>
      </c>
      <c r="Z60" s="449">
        <f>AJ48</f>
        <v>0</v>
      </c>
      <c r="AA60" s="449">
        <f>AK48</f>
        <v>0</v>
      </c>
      <c r="AB60" s="449">
        <f>AL48</f>
        <v>0</v>
      </c>
      <c r="AC60" s="449">
        <f>AM48</f>
        <v>0</v>
      </c>
      <c r="AD60" s="449">
        <f t="shared" si="417"/>
        <v>0</v>
      </c>
      <c r="AE60" s="450"/>
      <c r="AF60" s="122"/>
      <c r="GU60" s="172"/>
      <c r="HJ60" s="113"/>
    </row>
    <row r="61" spans="1:221" ht="15" customHeight="1">
      <c r="A61" s="1465"/>
      <c r="B61" s="1465"/>
      <c r="C61" s="2" t="s">
        <v>1778</v>
      </c>
      <c r="D61" s="2"/>
      <c r="E61" s="2"/>
      <c r="F61" s="2"/>
      <c r="G61" s="46"/>
      <c r="H61" s="383">
        <f>SUM(H59:H60)</f>
        <v>0</v>
      </c>
      <c r="I61" s="383">
        <f>SUM(I59:I60)</f>
        <v>16</v>
      </c>
      <c r="J61" s="383">
        <f>SUM(J59:J60)</f>
        <v>32</v>
      </c>
      <c r="K61" s="383">
        <f>SUM(K59:K60)</f>
        <v>0</v>
      </c>
      <c r="L61" s="383">
        <f>SUM(L59:L60)</f>
        <v>0</v>
      </c>
      <c r="M61" s="383">
        <f t="shared" si="415"/>
        <v>48</v>
      </c>
      <c r="N61" s="68"/>
      <c r="O61" s="113"/>
      <c r="Q61" s="680">
        <f t="shared" si="416"/>
        <v>0</v>
      </c>
      <c r="S61" s="207"/>
      <c r="T61" s="447" t="s">
        <v>1778</v>
      </c>
      <c r="U61" s="447"/>
      <c r="V61" s="447"/>
      <c r="W61" s="447"/>
      <c r="X61" s="448"/>
      <c r="Y61" s="449">
        <f>SUM(Y59:Y60)</f>
        <v>0</v>
      </c>
      <c r="Z61" s="449">
        <f>SUM(Z59:Z60)</f>
        <v>16</v>
      </c>
      <c r="AA61" s="449">
        <f>SUM(AA59:AA60)</f>
        <v>32</v>
      </c>
      <c r="AB61" s="449">
        <f>SUM(AB59:AB60)</f>
        <v>0</v>
      </c>
      <c r="AC61" s="449">
        <f>SUM(AC59:AC60)</f>
        <v>0</v>
      </c>
      <c r="AD61" s="449">
        <f t="shared" si="417"/>
        <v>48</v>
      </c>
      <c r="AE61" s="450"/>
      <c r="AF61" s="122"/>
      <c r="GU61" s="172"/>
      <c r="HJ61" s="113"/>
    </row>
    <row r="62" spans="1:221" ht="15" customHeight="1">
      <c r="A62" s="1465"/>
      <c r="B62" s="1465"/>
      <c r="C62" s="2" t="s">
        <v>3796</v>
      </c>
      <c r="D62" s="2"/>
      <c r="E62" s="2"/>
      <c r="F62" s="2"/>
      <c r="G62" s="46"/>
      <c r="H62" s="383">
        <f>BR48</f>
        <v>0</v>
      </c>
      <c r="I62" s="383">
        <f>BS48</f>
        <v>0</v>
      </c>
      <c r="J62" s="383">
        <f>BT48</f>
        <v>1</v>
      </c>
      <c r="K62" s="383">
        <f>BU48</f>
        <v>0</v>
      </c>
      <c r="L62" s="383">
        <f>BV48</f>
        <v>0</v>
      </c>
      <c r="M62" s="383">
        <f t="shared" si="415"/>
        <v>1</v>
      </c>
      <c r="N62" s="65" t="s">
        <v>3327</v>
      </c>
      <c r="O62" s="113"/>
      <c r="Q62" s="680">
        <f t="shared" si="416"/>
        <v>0</v>
      </c>
      <c r="S62" s="207"/>
      <c r="T62" s="447" t="s">
        <v>3796</v>
      </c>
      <c r="U62" s="447"/>
      <c r="V62" s="447"/>
      <c r="W62" s="447"/>
      <c r="X62" s="448"/>
      <c r="Y62" s="449">
        <f>BR48</f>
        <v>0</v>
      </c>
      <c r="Z62" s="449">
        <f>BS48</f>
        <v>0</v>
      </c>
      <c r="AA62" s="449">
        <f>BT48</f>
        <v>1</v>
      </c>
      <c r="AB62" s="449">
        <f>BU48</f>
        <v>0</v>
      </c>
      <c r="AC62" s="449">
        <f>BV48</f>
        <v>0</v>
      </c>
      <c r="AD62" s="449">
        <f t="shared" si="417"/>
        <v>1</v>
      </c>
      <c r="AE62" s="448" t="s">
        <v>839</v>
      </c>
      <c r="AF62" s="122"/>
      <c r="GU62" s="172"/>
      <c r="HJ62" s="113"/>
    </row>
    <row r="63" spans="1:221" ht="15" customHeight="1">
      <c r="A63" s="1465"/>
      <c r="B63" s="1465"/>
      <c r="C63" s="2" t="s">
        <v>831</v>
      </c>
      <c r="D63" s="2"/>
      <c r="E63" s="2"/>
      <c r="F63" s="2"/>
      <c r="G63" s="46"/>
      <c r="H63" s="383">
        <f>SUM(H61:H62)</f>
        <v>0</v>
      </c>
      <c r="I63" s="383">
        <f>SUM(I61:I62)</f>
        <v>16</v>
      </c>
      <c r="J63" s="383">
        <f>SUM(J61:J62)</f>
        <v>33</v>
      </c>
      <c r="K63" s="383">
        <f>SUM(K61:K62)</f>
        <v>0</v>
      </c>
      <c r="L63" s="383">
        <f>SUM(L61:L62)</f>
        <v>0</v>
      </c>
      <c r="M63" s="383">
        <f t="shared" si="415"/>
        <v>49</v>
      </c>
      <c r="O63" s="113"/>
      <c r="Q63" s="680">
        <f t="shared" si="416"/>
        <v>0</v>
      </c>
      <c r="S63" s="207"/>
      <c r="T63" s="447" t="s">
        <v>831</v>
      </c>
      <c r="U63" s="447"/>
      <c r="V63" s="447"/>
      <c r="W63" s="447"/>
      <c r="X63" s="448"/>
      <c r="Y63" s="449">
        <f>SUM(Y61:Y62)</f>
        <v>0</v>
      </c>
      <c r="Z63" s="449">
        <f>SUM(Z61:Z62)</f>
        <v>16</v>
      </c>
      <c r="AA63" s="449">
        <f>SUM(AA61:AA62)</f>
        <v>33</v>
      </c>
      <c r="AB63" s="449">
        <f>SUM(AB61:AB62)</f>
        <v>0</v>
      </c>
      <c r="AC63" s="449">
        <f>SUM(AC61:AC62)</f>
        <v>0</v>
      </c>
      <c r="AD63" s="449">
        <f t="shared" si="417"/>
        <v>49</v>
      </c>
      <c r="AE63" s="207"/>
      <c r="AF63" s="122"/>
      <c r="GU63" s="172"/>
      <c r="HJ63" s="113"/>
    </row>
    <row r="64" spans="1:221" ht="14.4" customHeight="1">
      <c r="A64" s="1465"/>
      <c r="B64" s="146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465"/>
      <c r="B65" s="1465"/>
      <c r="C65" s="2" t="s">
        <v>1528</v>
      </c>
      <c r="D65" s="2"/>
      <c r="E65" s="147"/>
      <c r="F65" s="2"/>
      <c r="G65" s="46" t="s">
        <v>1790</v>
      </c>
      <c r="H65" s="381">
        <f>AX48</f>
        <v>0</v>
      </c>
      <c r="I65" s="381">
        <f>AY48</f>
        <v>9</v>
      </c>
      <c r="J65" s="381">
        <f>AZ48</f>
        <v>21</v>
      </c>
      <c r="K65" s="381">
        <f>BA48</f>
        <v>0</v>
      </c>
      <c r="L65" s="381">
        <f>BB48</f>
        <v>0</v>
      </c>
      <c r="M65" s="381">
        <f>SUM(H65:L65)</f>
        <v>30</v>
      </c>
      <c r="N65" s="65"/>
      <c r="O65" s="113"/>
      <c r="Q65" s="680">
        <f>ABS(M65-AD65)</f>
        <v>0</v>
      </c>
      <c r="S65" s="207"/>
      <c r="T65" s="447" t="s">
        <v>1528</v>
      </c>
      <c r="U65" s="447"/>
      <c r="V65" s="451"/>
      <c r="W65" s="447"/>
      <c r="X65" s="448" t="s">
        <v>1790</v>
      </c>
      <c r="Y65" s="449">
        <f>AX48</f>
        <v>0</v>
      </c>
      <c r="Z65" s="449">
        <f>AY48</f>
        <v>9</v>
      </c>
      <c r="AA65" s="449">
        <f>AZ48</f>
        <v>21</v>
      </c>
      <c r="AB65" s="449">
        <f>BA48</f>
        <v>0</v>
      </c>
      <c r="AC65" s="449">
        <f>BB48</f>
        <v>0</v>
      </c>
      <c r="AD65" s="449">
        <f>SUM(Y65:AC65)</f>
        <v>30</v>
      </c>
      <c r="AE65" s="448"/>
      <c r="AF65" s="122"/>
      <c r="GU65" s="172"/>
      <c r="HJ65" s="113"/>
    </row>
    <row r="66" spans="1:218" ht="15" customHeight="1">
      <c r="A66" s="1465"/>
      <c r="B66" s="1465"/>
      <c r="C66" s="46" t="s">
        <v>3797</v>
      </c>
      <c r="D66" s="2"/>
      <c r="E66" s="147"/>
      <c r="F66" s="2"/>
      <c r="G66" s="46" t="s">
        <v>133</v>
      </c>
      <c r="H66" s="382">
        <f>AS48</f>
        <v>0</v>
      </c>
      <c r="I66" s="382">
        <f>AT48</f>
        <v>4</v>
      </c>
      <c r="J66" s="382">
        <f>AU48</f>
        <v>4</v>
      </c>
      <c r="K66" s="382">
        <f>AV48</f>
        <v>0</v>
      </c>
      <c r="L66" s="382">
        <f>AW48</f>
        <v>0</v>
      </c>
      <c r="M66" s="384">
        <f>SUM(H66:L66)</f>
        <v>8</v>
      </c>
      <c r="N66" s="65"/>
      <c r="O66" s="113"/>
      <c r="Q66" s="680">
        <f>ABS(M66-AD66)</f>
        <v>0</v>
      </c>
      <c r="S66" s="207"/>
      <c r="T66" s="448" t="s">
        <v>3797</v>
      </c>
      <c r="U66" s="447"/>
      <c r="V66" s="451"/>
      <c r="W66" s="447"/>
      <c r="X66" s="448" t="s">
        <v>133</v>
      </c>
      <c r="Y66" s="449">
        <f>AS48</f>
        <v>0</v>
      </c>
      <c r="Z66" s="449">
        <f>AT48</f>
        <v>4</v>
      </c>
      <c r="AA66" s="449">
        <f>AU48</f>
        <v>4</v>
      </c>
      <c r="AB66" s="449">
        <f>AV48</f>
        <v>0</v>
      </c>
      <c r="AC66" s="449">
        <f>AW48</f>
        <v>0</v>
      </c>
      <c r="AD66" s="449">
        <f>SUM(Y66:AC66)</f>
        <v>8</v>
      </c>
      <c r="AE66" s="448"/>
      <c r="AF66" s="122"/>
      <c r="GU66" s="172"/>
      <c r="HJ66" s="113"/>
    </row>
    <row r="67" spans="1:218" ht="15" customHeight="1">
      <c r="A67" s="1465"/>
      <c r="B67" s="1465"/>
      <c r="C67" s="5"/>
      <c r="D67" s="2"/>
      <c r="E67" s="147"/>
      <c r="F67" s="2"/>
      <c r="G67" s="46" t="s">
        <v>831</v>
      </c>
      <c r="H67" s="383">
        <f>SUM(H65:H66)</f>
        <v>0</v>
      </c>
      <c r="I67" s="383">
        <f>SUM(I65:I66)</f>
        <v>13</v>
      </c>
      <c r="J67" s="383">
        <f>SUM(J65:J66)</f>
        <v>25</v>
      </c>
      <c r="K67" s="383">
        <f>SUM(K65:K66)</f>
        <v>0</v>
      </c>
      <c r="L67" s="383">
        <f>SUM(L65:L66)</f>
        <v>0</v>
      </c>
      <c r="M67" s="383">
        <f>SUM(H67:L67)</f>
        <v>38</v>
      </c>
      <c r="N67" s="65"/>
      <c r="O67" s="113"/>
      <c r="Q67" s="680">
        <f>ABS(M67-AD67)</f>
        <v>0</v>
      </c>
      <c r="S67" s="207"/>
      <c r="T67" s="231"/>
      <c r="U67" s="447"/>
      <c r="V67" s="451"/>
      <c r="W67" s="447"/>
      <c r="X67" s="448" t="s">
        <v>831</v>
      </c>
      <c r="Y67" s="449">
        <f>SUM(Y65:Y66)</f>
        <v>0</v>
      </c>
      <c r="Z67" s="449">
        <f>SUM(Z65:Z66)</f>
        <v>13</v>
      </c>
      <c r="AA67" s="449">
        <f>SUM(AA65:AA66)</f>
        <v>25</v>
      </c>
      <c r="AB67" s="449">
        <f>SUM(AB65:AB66)</f>
        <v>0</v>
      </c>
      <c r="AC67" s="449">
        <f>SUM(AC65:AC66)</f>
        <v>0</v>
      </c>
      <c r="AD67" s="449">
        <f>SUM(Y67:AC67)</f>
        <v>38</v>
      </c>
      <c r="AE67" s="448"/>
      <c r="AF67" s="122"/>
      <c r="GU67" s="172"/>
      <c r="HJ67" s="113"/>
    </row>
    <row r="68" spans="1:218" ht="14.4" customHeight="1">
      <c r="A68" s="1465"/>
      <c r="B68" s="146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465"/>
      <c r="B69" s="1465"/>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1465"/>
      <c r="B70" s="1465"/>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1465"/>
      <c r="B71" s="1465"/>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 customHeight="1">
      <c r="A72" s="1465"/>
      <c r="B72" s="1465"/>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1465"/>
      <c r="B73" s="1465"/>
      <c r="C73" s="2"/>
      <c r="D73" s="2"/>
      <c r="E73" s="140" t="s">
        <v>3434</v>
      </c>
      <c r="F73" s="2"/>
      <c r="G73" s="46" t="s">
        <v>2153</v>
      </c>
      <c r="H73" s="381">
        <f>DA48</f>
        <v>0</v>
      </c>
      <c r="I73" s="381">
        <f>DB48</f>
        <v>0</v>
      </c>
      <c r="J73" s="381">
        <f>DC48</f>
        <v>0</v>
      </c>
      <c r="K73" s="381">
        <f>DD48</f>
        <v>0</v>
      </c>
      <c r="L73" s="381">
        <f>DE48</f>
        <v>0</v>
      </c>
      <c r="M73" s="381">
        <f t="shared" ref="M73:M83" si="418">SUM(H73:L73)</f>
        <v>0</v>
      </c>
      <c r="N73" s="31"/>
      <c r="O73" s="113"/>
      <c r="Q73" s="680">
        <f t="shared" ref="Q73:Q81" si="419">ABS(M73-AD73)</f>
        <v>0</v>
      </c>
      <c r="S73" s="207"/>
      <c r="T73" s="447"/>
      <c r="U73" s="447"/>
      <c r="V73" s="451" t="s">
        <v>3434</v>
      </c>
      <c r="W73" s="447"/>
      <c r="X73" s="448" t="s">
        <v>2153</v>
      </c>
      <c r="Y73" s="449">
        <f>DA48</f>
        <v>0</v>
      </c>
      <c r="Z73" s="449">
        <f>DB48</f>
        <v>0</v>
      </c>
      <c r="AA73" s="449">
        <f>DC48</f>
        <v>0</v>
      </c>
      <c r="AB73" s="449">
        <f>DD48</f>
        <v>0</v>
      </c>
      <c r="AC73" s="449">
        <f>DE48</f>
        <v>0</v>
      </c>
      <c r="AD73" s="449">
        <f t="shared" ref="AD73:AD81" si="420">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465"/>
      <c r="B74" s="1465"/>
      <c r="C74" s="2"/>
      <c r="D74" s="2"/>
      <c r="E74" s="147"/>
      <c r="F74" s="2"/>
      <c r="G74" s="46" t="s">
        <v>396</v>
      </c>
      <c r="H74" s="385">
        <f>DF48</f>
        <v>0</v>
      </c>
      <c r="I74" s="385">
        <f>DG48</f>
        <v>0</v>
      </c>
      <c r="J74" s="385">
        <f>DH48</f>
        <v>0</v>
      </c>
      <c r="K74" s="385">
        <f>DI48</f>
        <v>0</v>
      </c>
      <c r="L74" s="385">
        <f>DJ48</f>
        <v>0</v>
      </c>
      <c r="M74" s="385">
        <f t="shared" si="418"/>
        <v>0</v>
      </c>
      <c r="N74" s="68"/>
      <c r="O74" s="113"/>
      <c r="Q74" s="680">
        <f t="shared" si="419"/>
        <v>0</v>
      </c>
      <c r="S74" s="207"/>
      <c r="T74" s="447"/>
      <c r="U74" s="447"/>
      <c r="V74" s="451"/>
      <c r="W74" s="447"/>
      <c r="X74" s="448" t="s">
        <v>2152</v>
      </c>
      <c r="Y74" s="449">
        <f>DF48</f>
        <v>0</v>
      </c>
      <c r="Z74" s="449">
        <f>DG48</f>
        <v>0</v>
      </c>
      <c r="AA74" s="449">
        <f>DH48</f>
        <v>0</v>
      </c>
      <c r="AB74" s="449">
        <f>DI48</f>
        <v>0</v>
      </c>
      <c r="AC74" s="449">
        <f>DJ48</f>
        <v>0</v>
      </c>
      <c r="AD74" s="449">
        <f t="shared" si="420"/>
        <v>0</v>
      </c>
      <c r="AE74" s="450"/>
      <c r="AF74" s="122"/>
      <c r="GU74" s="172"/>
      <c r="HJ74" s="113"/>
    </row>
    <row r="75" spans="1:218" ht="15" customHeight="1">
      <c r="A75" s="1465"/>
      <c r="B75" s="1465"/>
      <c r="C75" s="5"/>
      <c r="D75" s="2"/>
      <c r="E75" s="147"/>
      <c r="F75" s="2"/>
      <c r="G75" s="46" t="s">
        <v>34</v>
      </c>
      <c r="H75" s="383">
        <f>SUM(H73:H74)+DK48</f>
        <v>0</v>
      </c>
      <c r="I75" s="383">
        <f>SUM(I73:I74)+DL48</f>
        <v>0</v>
      </c>
      <c r="J75" s="383">
        <f>SUM(J73:J74)+DM48</f>
        <v>0</v>
      </c>
      <c r="K75" s="383">
        <f>SUM(K73:K74)+DN48</f>
        <v>0</v>
      </c>
      <c r="L75" s="383">
        <f>SUM(L73:L74)+DO48</f>
        <v>0</v>
      </c>
      <c r="M75" s="383">
        <f t="shared" si="418"/>
        <v>0</v>
      </c>
      <c r="N75" s="65"/>
      <c r="O75" s="113"/>
      <c r="Q75" s="680">
        <f t="shared" si="419"/>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420"/>
        <v>0</v>
      </c>
      <c r="AE75" s="448"/>
      <c r="AF75" s="122"/>
      <c r="GU75" s="172"/>
      <c r="HJ75" s="113"/>
    </row>
    <row r="76" spans="1:218" ht="15" customHeight="1">
      <c r="A76" s="1465"/>
      <c r="B76" s="1465"/>
      <c r="C76" s="2"/>
      <c r="D76" s="2"/>
      <c r="E76" s="140" t="s">
        <v>3236</v>
      </c>
      <c r="F76" s="2"/>
      <c r="G76" s="46" t="s">
        <v>2153</v>
      </c>
      <c r="H76" s="381">
        <f>DP48</f>
        <v>0</v>
      </c>
      <c r="I76" s="381">
        <f>DQ48</f>
        <v>16</v>
      </c>
      <c r="J76" s="381">
        <f>DR48</f>
        <v>32</v>
      </c>
      <c r="K76" s="381">
        <f>DS48</f>
        <v>0</v>
      </c>
      <c r="L76" s="381">
        <f>DT48</f>
        <v>0</v>
      </c>
      <c r="M76" s="381">
        <f t="shared" si="418"/>
        <v>48</v>
      </c>
      <c r="N76" s="31"/>
      <c r="O76" s="113"/>
      <c r="Q76" s="680">
        <f t="shared" si="419"/>
        <v>0</v>
      </c>
      <c r="S76" s="207"/>
      <c r="T76" s="447"/>
      <c r="U76" s="447"/>
      <c r="V76" s="451" t="s">
        <v>3236</v>
      </c>
      <c r="W76" s="447"/>
      <c r="X76" s="448" t="s">
        <v>2153</v>
      </c>
      <c r="Y76" s="449">
        <f>DP48</f>
        <v>0</v>
      </c>
      <c r="Z76" s="449">
        <f>DQ48</f>
        <v>16</v>
      </c>
      <c r="AA76" s="449">
        <f>DR48</f>
        <v>32</v>
      </c>
      <c r="AB76" s="449">
        <f>DS48</f>
        <v>0</v>
      </c>
      <c r="AC76" s="449">
        <f>DT48</f>
        <v>0</v>
      </c>
      <c r="AD76" s="449">
        <f t="shared" si="420"/>
        <v>48</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418"/>
        <v>0</v>
      </c>
      <c r="N77" s="68"/>
      <c r="O77" s="113"/>
      <c r="Q77" s="680">
        <f t="shared" si="419"/>
        <v>0</v>
      </c>
      <c r="S77" s="207"/>
      <c r="T77" s="447"/>
      <c r="U77" s="447"/>
      <c r="V77" s="451"/>
      <c r="W77" s="447"/>
      <c r="X77" s="448" t="s">
        <v>2152</v>
      </c>
      <c r="Y77" s="449">
        <f>DU48</f>
        <v>0</v>
      </c>
      <c r="Z77" s="449">
        <f>DV48</f>
        <v>0</v>
      </c>
      <c r="AA77" s="449">
        <f>DW48</f>
        <v>0</v>
      </c>
      <c r="AB77" s="449">
        <f>DX48</f>
        <v>0</v>
      </c>
      <c r="AC77" s="449">
        <f>DY48</f>
        <v>0</v>
      </c>
      <c r="AD77" s="449">
        <f t="shared" si="420"/>
        <v>0</v>
      </c>
      <c r="AE77" s="450"/>
      <c r="AF77" s="122"/>
      <c r="GU77" s="172"/>
      <c r="HJ77" s="113"/>
    </row>
    <row r="78" spans="1:218" ht="15" customHeight="1">
      <c r="C78" s="5"/>
      <c r="D78" s="2"/>
      <c r="E78" s="147"/>
      <c r="F78" s="2"/>
      <c r="G78" s="46" t="s">
        <v>34</v>
      </c>
      <c r="H78" s="383">
        <f>SUM(H76:H77)+DZ48</f>
        <v>0</v>
      </c>
      <c r="I78" s="383">
        <f>SUM(I76:I77)+EA48</f>
        <v>16</v>
      </c>
      <c r="J78" s="383">
        <f>SUM(J76:J77)+EB48</f>
        <v>33</v>
      </c>
      <c r="K78" s="383">
        <f>SUM(K76:K77)+EC48</f>
        <v>0</v>
      </c>
      <c r="L78" s="383">
        <f>SUM(L76:L77)+ED48</f>
        <v>0</v>
      </c>
      <c r="M78" s="383">
        <f t="shared" si="418"/>
        <v>49</v>
      </c>
      <c r="N78" s="65"/>
      <c r="O78" s="113"/>
      <c r="Q78" s="680">
        <f t="shared" si="419"/>
        <v>0</v>
      </c>
      <c r="S78" s="207"/>
      <c r="T78" s="231"/>
      <c r="U78" s="447"/>
      <c r="V78" s="451"/>
      <c r="W78" s="447"/>
      <c r="X78" s="681" t="s">
        <v>34</v>
      </c>
      <c r="Y78" s="449">
        <f>SUM(Y76:Y77)+DZ48</f>
        <v>0</v>
      </c>
      <c r="Z78" s="449">
        <f>SUM(Z76:Z77)+EA48</f>
        <v>16</v>
      </c>
      <c r="AA78" s="449">
        <f>SUM(AA76:AA77)+EB48</f>
        <v>33</v>
      </c>
      <c r="AB78" s="449">
        <f>SUM(AB76:AB77)+EC48</f>
        <v>0</v>
      </c>
      <c r="AC78" s="449">
        <f>SUM(AC76:AC77)+ED48</f>
        <v>0</v>
      </c>
      <c r="AD78" s="449">
        <f t="shared" si="420"/>
        <v>49</v>
      </c>
      <c r="AE78" s="448"/>
      <c r="AF78" s="122"/>
      <c r="GU78" s="172"/>
      <c r="HJ78" s="113"/>
    </row>
    <row r="79" spans="1:218" ht="15" customHeight="1">
      <c r="C79" s="2"/>
      <c r="D79" s="2"/>
      <c r="E79" s="1500" t="s">
        <v>2130</v>
      </c>
      <c r="F79" s="1500"/>
      <c r="G79" s="46" t="s">
        <v>2153</v>
      </c>
      <c r="H79" s="381">
        <f>EE48</f>
        <v>0</v>
      </c>
      <c r="I79" s="381">
        <f>EF48</f>
        <v>0</v>
      </c>
      <c r="J79" s="381">
        <f>EG48</f>
        <v>0</v>
      </c>
      <c r="K79" s="381">
        <f>EH48</f>
        <v>0</v>
      </c>
      <c r="L79" s="381">
        <f>EI48</f>
        <v>0</v>
      </c>
      <c r="M79" s="381">
        <f t="shared" si="418"/>
        <v>0</v>
      </c>
      <c r="N79" s="31"/>
      <c r="O79" s="113"/>
      <c r="Q79" s="680">
        <f t="shared" si="419"/>
        <v>0</v>
      </c>
      <c r="S79" s="207"/>
      <c r="T79" s="447"/>
      <c r="U79" s="447"/>
      <c r="V79" s="451" t="s">
        <v>3140</v>
      </c>
      <c r="W79" s="447"/>
      <c r="X79" s="448" t="s">
        <v>2153</v>
      </c>
      <c r="Y79" s="449">
        <f>EE48</f>
        <v>0</v>
      </c>
      <c r="Z79" s="449">
        <f>EF48</f>
        <v>0</v>
      </c>
      <c r="AA79" s="449">
        <f>EG48</f>
        <v>0</v>
      </c>
      <c r="AB79" s="449">
        <f>EH48</f>
        <v>0</v>
      </c>
      <c r="AC79" s="449">
        <f>EI48</f>
        <v>0</v>
      </c>
      <c r="AD79" s="449">
        <f t="shared" si="420"/>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500"/>
      <c r="F80" s="1500"/>
      <c r="G80" s="46" t="s">
        <v>396</v>
      </c>
      <c r="H80" s="385">
        <f>EJ48</f>
        <v>0</v>
      </c>
      <c r="I80" s="385">
        <f>EK48</f>
        <v>0</v>
      </c>
      <c r="J80" s="385">
        <f>EL48</f>
        <v>0</v>
      </c>
      <c r="K80" s="385">
        <f>EM48</f>
        <v>0</v>
      </c>
      <c r="L80" s="385">
        <f>EN48</f>
        <v>0</v>
      </c>
      <c r="M80" s="385">
        <f t="shared" si="418"/>
        <v>0</v>
      </c>
      <c r="N80" s="68"/>
      <c r="O80" s="113"/>
      <c r="Q80" s="680">
        <f t="shared" si="419"/>
        <v>0</v>
      </c>
      <c r="S80" s="207"/>
      <c r="T80" s="447"/>
      <c r="U80" s="447"/>
      <c r="V80" s="447"/>
      <c r="W80" s="447"/>
      <c r="X80" s="448" t="s">
        <v>2152</v>
      </c>
      <c r="Y80" s="449">
        <f>EJ48</f>
        <v>0</v>
      </c>
      <c r="Z80" s="449">
        <f>EK48</f>
        <v>0</v>
      </c>
      <c r="AA80" s="449">
        <f>EL48</f>
        <v>0</v>
      </c>
      <c r="AB80" s="449">
        <f>EM48</f>
        <v>0</v>
      </c>
      <c r="AC80" s="449">
        <f>EN48</f>
        <v>0</v>
      </c>
      <c r="AD80" s="449">
        <f t="shared" si="420"/>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418"/>
        <v>0</v>
      </c>
      <c r="N81" s="65"/>
      <c r="O81" s="113"/>
      <c r="Q81" s="680">
        <f t="shared" si="419"/>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420"/>
        <v>0</v>
      </c>
      <c r="AE81" s="448"/>
      <c r="AF81" s="122"/>
      <c r="GU81" s="172"/>
      <c r="HJ81" s="113"/>
    </row>
    <row r="82" spans="1:218" ht="15" customHeight="1">
      <c r="C82" s="2"/>
      <c r="D82" s="2"/>
      <c r="E82" s="147" t="s">
        <v>468</v>
      </c>
      <c r="F82" s="2"/>
      <c r="G82" s="46"/>
      <c r="H82" s="848"/>
      <c r="I82" s="848"/>
      <c r="J82" s="848"/>
      <c r="K82" s="848"/>
      <c r="L82" s="848"/>
      <c r="M82" s="381">
        <f t="shared" si="418"/>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849"/>
      <c r="I83" s="849"/>
      <c r="J83" s="849"/>
      <c r="K83" s="849"/>
      <c r="L83" s="849"/>
      <c r="M83" s="385">
        <f t="shared" si="418"/>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16</v>
      </c>
      <c r="J85" s="381">
        <f>EV48</f>
        <v>33</v>
      </c>
      <c r="K85" s="381">
        <f>EW48</f>
        <v>0</v>
      </c>
      <c r="L85" s="381">
        <f>EX48</f>
        <v>0</v>
      </c>
      <c r="M85" s="381">
        <f>SUM(H85:L85)</f>
        <v>49</v>
      </c>
      <c r="N85" s="31"/>
      <c r="O85" s="113"/>
      <c r="Q85" s="680">
        <f>ABS(M85-AD85)</f>
        <v>0</v>
      </c>
      <c r="S85" s="207"/>
      <c r="T85" s="122"/>
      <c r="U85" s="122"/>
      <c r="V85" s="451" t="s">
        <v>46</v>
      </c>
      <c r="W85" s="122"/>
      <c r="X85" s="448"/>
      <c r="Y85" s="449">
        <f>ET48</f>
        <v>0</v>
      </c>
      <c r="Z85" s="449">
        <f>EU48</f>
        <v>16</v>
      </c>
      <c r="AA85" s="449">
        <f>EV48</f>
        <v>33</v>
      </c>
      <c r="AB85" s="449">
        <f>EW48</f>
        <v>0</v>
      </c>
      <c r="AC85" s="449">
        <f>EX48</f>
        <v>0</v>
      </c>
      <c r="AD85" s="449">
        <f>SUM(Y85:AC85)</f>
        <v>49</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 customHeight="1">
      <c r="A91" s="16"/>
      <c r="B91" s="16" t="s">
        <v>3268</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1790</v>
      </c>
      <c r="H92" s="223">
        <f>BW48</f>
        <v>0</v>
      </c>
      <c r="I92" s="223">
        <f>BX48</f>
        <v>8460</v>
      </c>
      <c r="J92" s="223">
        <f>BY48</f>
        <v>24332</v>
      </c>
      <c r="K92" s="223">
        <f>BZ48</f>
        <v>0</v>
      </c>
      <c r="L92" s="223">
        <f>CA48</f>
        <v>0</v>
      </c>
      <c r="M92" s="223">
        <f t="shared" ref="M92:M98" si="421">SUM(H92:L92)</f>
        <v>32792</v>
      </c>
      <c r="O92" s="113"/>
      <c r="Q92" s="680">
        <f t="shared" ref="Q92:Q98" si="422">ABS(M92-AD92)</f>
        <v>0</v>
      </c>
      <c r="S92" s="207"/>
      <c r="T92" s="447" t="s">
        <v>3235</v>
      </c>
      <c r="U92" s="447"/>
      <c r="V92" s="447"/>
      <c r="W92" s="447"/>
      <c r="X92" s="448" t="s">
        <v>1790</v>
      </c>
      <c r="Y92" s="449">
        <f>BW48</f>
        <v>0</v>
      </c>
      <c r="Z92" s="449">
        <f>BX48</f>
        <v>8460</v>
      </c>
      <c r="AA92" s="449">
        <f>BY48</f>
        <v>24332</v>
      </c>
      <c r="AB92" s="449">
        <f>BZ48</f>
        <v>0</v>
      </c>
      <c r="AC92" s="449">
        <f>CA48</f>
        <v>0</v>
      </c>
      <c r="AD92" s="449">
        <f t="shared" ref="AD92:AD98" si="423">SUM(Y92:AC92)</f>
        <v>32792</v>
      </c>
      <c r="AE92" s="207"/>
      <c r="AF92" s="122"/>
      <c r="GU92" s="172"/>
      <c r="HJ92" s="113"/>
    </row>
    <row r="93" spans="1:218" ht="15" customHeight="1">
      <c r="C93" s="5"/>
      <c r="D93" s="2"/>
      <c r="E93" s="2"/>
      <c r="F93" s="2"/>
      <c r="G93" s="46" t="s">
        <v>133</v>
      </c>
      <c r="H93" s="225">
        <f>CB48</f>
        <v>0</v>
      </c>
      <c r="I93" s="225">
        <f>CC48</f>
        <v>2820</v>
      </c>
      <c r="J93" s="225">
        <f>CD48</f>
        <v>3476</v>
      </c>
      <c r="K93" s="225">
        <f>CE48</f>
        <v>0</v>
      </c>
      <c r="L93" s="225">
        <f>CF48</f>
        <v>0</v>
      </c>
      <c r="M93" s="225">
        <f t="shared" si="421"/>
        <v>6296</v>
      </c>
      <c r="N93" s="6"/>
      <c r="O93" s="113"/>
      <c r="Q93" s="680">
        <f t="shared" si="422"/>
        <v>0</v>
      </c>
      <c r="S93" s="207"/>
      <c r="T93" s="231"/>
      <c r="U93" s="447"/>
      <c r="V93" s="447"/>
      <c r="W93" s="447"/>
      <c r="X93" s="448" t="s">
        <v>133</v>
      </c>
      <c r="Y93" s="449">
        <f>CB48</f>
        <v>0</v>
      </c>
      <c r="Z93" s="449">
        <f>CC48</f>
        <v>2820</v>
      </c>
      <c r="AA93" s="449">
        <f>CD48</f>
        <v>3476</v>
      </c>
      <c r="AB93" s="449">
        <f>CE48</f>
        <v>0</v>
      </c>
      <c r="AC93" s="449">
        <f>CF48</f>
        <v>0</v>
      </c>
      <c r="AD93" s="449">
        <f t="shared" si="423"/>
        <v>6296</v>
      </c>
      <c r="AE93" s="447"/>
      <c r="AF93" s="122"/>
      <c r="GU93" s="172"/>
      <c r="HJ93" s="113"/>
    </row>
    <row r="94" spans="1:218" ht="15" customHeight="1">
      <c r="C94" s="5"/>
      <c r="D94" s="2"/>
      <c r="E94" s="2"/>
      <c r="F94" s="2"/>
      <c r="G94" s="46" t="s">
        <v>831</v>
      </c>
      <c r="H94" s="222">
        <f>SUM(H92:H93)</f>
        <v>0</v>
      </c>
      <c r="I94" s="222">
        <f>SUM(I92:I93)</f>
        <v>11280</v>
      </c>
      <c r="J94" s="222">
        <f>SUM(J92:J93)</f>
        <v>27808</v>
      </c>
      <c r="K94" s="222">
        <f>SUM(K92:K93)</f>
        <v>0</v>
      </c>
      <c r="L94" s="222">
        <f>SUM(L92:L93)</f>
        <v>0</v>
      </c>
      <c r="M94" s="222">
        <f t="shared" si="421"/>
        <v>39088</v>
      </c>
      <c r="N94" s="6"/>
      <c r="O94" s="113"/>
      <c r="Q94" s="680">
        <f t="shared" si="422"/>
        <v>0</v>
      </c>
      <c r="S94" s="207"/>
      <c r="T94" s="231"/>
      <c r="U94" s="447"/>
      <c r="V94" s="447"/>
      <c r="W94" s="447"/>
      <c r="X94" s="448" t="s">
        <v>831</v>
      </c>
      <c r="Y94" s="449">
        <f>SUM(Y92:Y93)</f>
        <v>0</v>
      </c>
      <c r="Z94" s="449">
        <f>SUM(Z92:Z93)</f>
        <v>11280</v>
      </c>
      <c r="AA94" s="449">
        <f>SUM(AA92:AA93)</f>
        <v>27808</v>
      </c>
      <c r="AB94" s="449">
        <f>SUM(AB92:AB93)</f>
        <v>0</v>
      </c>
      <c r="AC94" s="449">
        <f>SUM(AC92:AC93)</f>
        <v>0</v>
      </c>
      <c r="AD94" s="449">
        <f t="shared" si="423"/>
        <v>39088</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421"/>
        <v>0</v>
      </c>
      <c r="O95" s="113"/>
      <c r="Q95" s="680">
        <f t="shared" si="422"/>
        <v>0</v>
      </c>
      <c r="S95" s="207"/>
      <c r="T95" s="122" t="s">
        <v>396</v>
      </c>
      <c r="U95" s="447"/>
      <c r="V95" s="447"/>
      <c r="W95" s="447"/>
      <c r="X95" s="447"/>
      <c r="Y95" s="449">
        <f>CL48</f>
        <v>0</v>
      </c>
      <c r="Z95" s="449">
        <f>CM48</f>
        <v>0</v>
      </c>
      <c r="AA95" s="449">
        <f>CN48</f>
        <v>0</v>
      </c>
      <c r="AB95" s="449">
        <f>CO48</f>
        <v>0</v>
      </c>
      <c r="AC95" s="449">
        <f>CP48</f>
        <v>0</v>
      </c>
      <c r="AD95" s="449">
        <f t="shared" si="423"/>
        <v>0</v>
      </c>
      <c r="AE95" s="207"/>
      <c r="AF95" s="122"/>
      <c r="GU95" s="172"/>
      <c r="HJ95" s="113"/>
    </row>
    <row r="96" spans="1:218" ht="15" customHeight="1">
      <c r="C96" s="6" t="s">
        <v>1778</v>
      </c>
      <c r="D96" s="2"/>
      <c r="E96" s="2"/>
      <c r="F96" s="2"/>
      <c r="G96" s="2"/>
      <c r="H96" s="222">
        <f>SUM(H94:H95)</f>
        <v>0</v>
      </c>
      <c r="I96" s="222">
        <f>SUM(I94:I95)</f>
        <v>11280</v>
      </c>
      <c r="J96" s="222">
        <f>SUM(J94:J95)</f>
        <v>27808</v>
      </c>
      <c r="K96" s="222">
        <f>SUM(K94:K95)</f>
        <v>0</v>
      </c>
      <c r="L96" s="222">
        <f>SUM(L94:L95)</f>
        <v>0</v>
      </c>
      <c r="M96" s="222">
        <f t="shared" si="421"/>
        <v>39088</v>
      </c>
      <c r="O96" s="113"/>
      <c r="Q96" s="680">
        <f t="shared" si="422"/>
        <v>0</v>
      </c>
      <c r="S96" s="207"/>
      <c r="T96" s="447" t="s">
        <v>1778</v>
      </c>
      <c r="U96" s="447"/>
      <c r="V96" s="447"/>
      <c r="W96" s="447"/>
      <c r="X96" s="447"/>
      <c r="Y96" s="449">
        <f>SUM(Y94:Y95)</f>
        <v>0</v>
      </c>
      <c r="Z96" s="449">
        <f>SUM(Z94:Z95)</f>
        <v>11280</v>
      </c>
      <c r="AA96" s="449">
        <f>SUM(AA94:AA95)</f>
        <v>27808</v>
      </c>
      <c r="AB96" s="449">
        <f>SUM(AB94:AB95)</f>
        <v>0</v>
      </c>
      <c r="AC96" s="449">
        <f>SUM(AC94:AC95)</f>
        <v>0</v>
      </c>
      <c r="AD96" s="449">
        <f t="shared" si="423"/>
        <v>39088</v>
      </c>
      <c r="AE96" s="207"/>
      <c r="AF96" s="122"/>
      <c r="GU96" s="172"/>
      <c r="HJ96" s="113"/>
    </row>
    <row r="97" spans="1:220" ht="15" customHeight="1">
      <c r="C97" s="6" t="s">
        <v>3796</v>
      </c>
      <c r="D97" s="2"/>
      <c r="E97" s="2"/>
      <c r="F97" s="2"/>
      <c r="G97" s="2"/>
      <c r="H97" s="222">
        <f>CV48</f>
        <v>0</v>
      </c>
      <c r="I97" s="222">
        <f>CW48</f>
        <v>0</v>
      </c>
      <c r="J97" s="222">
        <f>CX48</f>
        <v>899</v>
      </c>
      <c r="K97" s="222">
        <f>CY48</f>
        <v>0</v>
      </c>
      <c r="L97" s="222">
        <f>CZ48</f>
        <v>0</v>
      </c>
      <c r="M97" s="222">
        <f t="shared" si="421"/>
        <v>899</v>
      </c>
      <c r="O97" s="113"/>
      <c r="Q97" s="680">
        <f t="shared" si="422"/>
        <v>0</v>
      </c>
      <c r="S97" s="207"/>
      <c r="T97" s="447" t="s">
        <v>3796</v>
      </c>
      <c r="U97" s="447"/>
      <c r="V97" s="447"/>
      <c r="W97" s="447"/>
      <c r="X97" s="447"/>
      <c r="Y97" s="449">
        <f>CV48</f>
        <v>0</v>
      </c>
      <c r="Z97" s="449">
        <f>CW48</f>
        <v>0</v>
      </c>
      <c r="AA97" s="449">
        <f>CX48</f>
        <v>899</v>
      </c>
      <c r="AB97" s="449">
        <f>CY48</f>
        <v>0</v>
      </c>
      <c r="AC97" s="449">
        <f>CZ48</f>
        <v>0</v>
      </c>
      <c r="AD97" s="449">
        <f t="shared" si="423"/>
        <v>899</v>
      </c>
      <c r="AE97" s="207"/>
      <c r="AF97" s="122"/>
      <c r="GU97" s="172"/>
      <c r="HJ97" s="113"/>
    </row>
    <row r="98" spans="1:220" ht="15" customHeight="1">
      <c r="C98" s="6" t="s">
        <v>831</v>
      </c>
      <c r="D98" s="2"/>
      <c r="E98" s="2"/>
      <c r="F98" s="2"/>
      <c r="G98" s="2"/>
      <c r="H98" s="222">
        <f>SUM(H96:H97)</f>
        <v>0</v>
      </c>
      <c r="I98" s="222">
        <f>SUM(I96:I97)</f>
        <v>11280</v>
      </c>
      <c r="J98" s="222">
        <f>SUM(J96:J97)</f>
        <v>28707</v>
      </c>
      <c r="K98" s="222">
        <f>SUM(K96:K97)</f>
        <v>0</v>
      </c>
      <c r="L98" s="222">
        <f>SUM(L96:L97)</f>
        <v>0</v>
      </c>
      <c r="M98" s="222">
        <f t="shared" si="421"/>
        <v>39987</v>
      </c>
      <c r="O98" s="113"/>
      <c r="Q98" s="680">
        <f t="shared" si="422"/>
        <v>0</v>
      </c>
      <c r="S98" s="207"/>
      <c r="T98" s="447" t="s">
        <v>831</v>
      </c>
      <c r="U98" s="447"/>
      <c r="V98" s="447"/>
      <c r="W98" s="447"/>
      <c r="X98" s="447"/>
      <c r="Y98" s="449">
        <f>SUM(Y96:Y97)</f>
        <v>0</v>
      </c>
      <c r="Z98" s="449">
        <f>SUM(Z96:Z97)</f>
        <v>11280</v>
      </c>
      <c r="AA98" s="449">
        <f>SUM(AA96:AA97)</f>
        <v>28707</v>
      </c>
      <c r="AB98" s="449">
        <f>SUM(AB96:AB97)</f>
        <v>0</v>
      </c>
      <c r="AC98" s="449">
        <f>SUM(AC96:AC97)</f>
        <v>0</v>
      </c>
      <c r="AD98" s="449">
        <f t="shared" si="423"/>
        <v>39987</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1494">
        <f>0.02*L49</f>
        <v>4581.12</v>
      </c>
      <c r="H102" s="1495"/>
      <c r="I102" s="145" t="s">
        <v>3751</v>
      </c>
      <c r="P102" s="575"/>
    </row>
    <row r="103" spans="1:220" ht="15" customHeight="1">
      <c r="B103" s="16"/>
      <c r="D103" s="147"/>
      <c r="E103" s="184"/>
      <c r="G103" s="303"/>
      <c r="H103" s="303"/>
      <c r="I103" s="145"/>
      <c r="P103" s="575"/>
    </row>
    <row r="104" spans="1:220" ht="13.95" customHeight="1">
      <c r="B104" s="16" t="s">
        <v>2168</v>
      </c>
      <c r="I104" s="16"/>
      <c r="K104" s="43"/>
    </row>
    <row r="105" spans="1:220" ht="15" customHeight="1">
      <c r="B105" s="16"/>
      <c r="I105" s="16"/>
      <c r="K105" s="43"/>
    </row>
    <row r="106" spans="1:220" ht="13.95"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1632</v>
      </c>
      <c r="G107" s="850"/>
      <c r="H107" s="850"/>
      <c r="I107" s="850"/>
      <c r="J107" s="850"/>
      <c r="K107" s="851"/>
      <c r="L107" s="850"/>
      <c r="M107" s="850"/>
      <c r="N107" s="850"/>
      <c r="O107" s="850"/>
      <c r="P107" s="850"/>
    </row>
    <row r="108" spans="1:220" ht="15" customHeight="1">
      <c r="B108" s="9" t="s">
        <v>1229</v>
      </c>
      <c r="C108" s="1468"/>
      <c r="D108" s="1469"/>
      <c r="E108" s="1469"/>
      <c r="F108" s="1470"/>
      <c r="G108" s="852"/>
      <c r="H108" s="852"/>
      <c r="I108" s="852"/>
      <c r="J108" s="852"/>
      <c r="K108" s="853"/>
      <c r="L108" s="852"/>
      <c r="M108" s="852"/>
      <c r="N108" s="852"/>
      <c r="O108" s="852"/>
      <c r="P108" s="852"/>
    </row>
    <row r="109" spans="1:220" ht="15" customHeight="1">
      <c r="C109" s="121" t="s">
        <v>1522</v>
      </c>
      <c r="G109" s="41">
        <f t="shared" ref="G109:P109" si="424">SUM(G107:G108)</f>
        <v>0</v>
      </c>
      <c r="H109" s="41">
        <f t="shared" si="424"/>
        <v>0</v>
      </c>
      <c r="I109" s="41">
        <f t="shared" si="424"/>
        <v>0</v>
      </c>
      <c r="J109" s="41">
        <f t="shared" si="424"/>
        <v>0</v>
      </c>
      <c r="K109" s="41">
        <f t="shared" si="424"/>
        <v>0</v>
      </c>
      <c r="L109" s="41">
        <f t="shared" si="424"/>
        <v>0</v>
      </c>
      <c r="M109" s="41">
        <f t="shared" si="424"/>
        <v>0</v>
      </c>
      <c r="N109" s="41">
        <f t="shared" si="424"/>
        <v>0</v>
      </c>
      <c r="O109" s="41">
        <f t="shared" si="424"/>
        <v>0</v>
      </c>
      <c r="P109" s="41">
        <f t="shared" si="424"/>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850"/>
      <c r="H113" s="850"/>
      <c r="I113" s="850"/>
      <c r="J113" s="850"/>
      <c r="K113" s="851"/>
      <c r="L113" s="850"/>
      <c r="M113" s="850"/>
      <c r="N113" s="850"/>
      <c r="O113" s="850"/>
      <c r="P113" s="850"/>
    </row>
    <row r="114" spans="2:16" ht="15" customHeight="1">
      <c r="B114" s="9" t="s">
        <v>1229</v>
      </c>
      <c r="C114" s="1468" t="s">
        <v>3989</v>
      </c>
      <c r="D114" s="1469"/>
      <c r="E114" s="1469"/>
      <c r="F114" s="1470"/>
      <c r="G114" s="852">
        <v>2000</v>
      </c>
      <c r="H114" s="852">
        <v>3000</v>
      </c>
      <c r="I114" s="852">
        <v>4000</v>
      </c>
      <c r="J114" s="852">
        <v>5000</v>
      </c>
      <c r="K114" s="853">
        <v>6250</v>
      </c>
      <c r="L114" s="852">
        <v>7500</v>
      </c>
      <c r="M114" s="852">
        <v>8750</v>
      </c>
      <c r="N114" s="852">
        <v>10250</v>
      </c>
      <c r="O114" s="852">
        <v>11750</v>
      </c>
      <c r="P114" s="852">
        <v>13500</v>
      </c>
    </row>
    <row r="115" spans="2:16" ht="15" customHeight="1">
      <c r="C115" s="121" t="s">
        <v>250</v>
      </c>
      <c r="G115" s="41">
        <f t="shared" ref="G115:P115" si="425">SUM(G112:G114)</f>
        <v>2000</v>
      </c>
      <c r="H115" s="41">
        <f t="shared" si="425"/>
        <v>3000</v>
      </c>
      <c r="I115" s="41">
        <f t="shared" si="425"/>
        <v>4000</v>
      </c>
      <c r="J115" s="41">
        <f t="shared" si="425"/>
        <v>5000</v>
      </c>
      <c r="K115" s="41">
        <f t="shared" si="425"/>
        <v>6250</v>
      </c>
      <c r="L115" s="41">
        <f t="shared" si="425"/>
        <v>7500</v>
      </c>
      <c r="M115" s="41">
        <f t="shared" si="425"/>
        <v>8750</v>
      </c>
      <c r="N115" s="41">
        <f t="shared" si="425"/>
        <v>10250</v>
      </c>
      <c r="O115" s="41">
        <f t="shared" si="425"/>
        <v>11750</v>
      </c>
      <c r="P115" s="41">
        <f t="shared" si="425"/>
        <v>13500</v>
      </c>
    </row>
    <row r="116" spans="2:16" ht="42.6" customHeight="1">
      <c r="B116" s="16"/>
      <c r="G116" s="44"/>
      <c r="P116" s="9"/>
    </row>
    <row r="117" spans="2:16" ht="13.95"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1632</v>
      </c>
      <c r="G118" s="850"/>
      <c r="H118" s="850"/>
      <c r="I118" s="850"/>
      <c r="J118" s="850"/>
      <c r="K118" s="851"/>
      <c r="L118" s="850"/>
      <c r="M118" s="850"/>
      <c r="N118" s="850"/>
      <c r="O118" s="850"/>
      <c r="P118" s="850"/>
    </row>
    <row r="119" spans="2:16" ht="15" customHeight="1">
      <c r="B119" s="9" t="s">
        <v>1229</v>
      </c>
      <c r="C119" s="1468"/>
      <c r="D119" s="1469"/>
      <c r="E119" s="1469"/>
      <c r="F119" s="1470"/>
      <c r="G119" s="852"/>
      <c r="H119" s="852"/>
      <c r="I119" s="852"/>
      <c r="J119" s="852"/>
      <c r="K119" s="853"/>
      <c r="L119" s="852"/>
      <c r="M119" s="852"/>
      <c r="N119" s="852"/>
      <c r="O119" s="852"/>
      <c r="P119" s="852"/>
    </row>
    <row r="120" spans="2:16" ht="15" customHeight="1">
      <c r="C120" s="121" t="s">
        <v>1522</v>
      </c>
      <c r="G120" s="41">
        <f t="shared" ref="G120:P120" si="426">SUM(G118:G119)</f>
        <v>0</v>
      </c>
      <c r="H120" s="41">
        <f t="shared" si="426"/>
        <v>0</v>
      </c>
      <c r="I120" s="41">
        <f t="shared" si="426"/>
        <v>0</v>
      </c>
      <c r="J120" s="41">
        <f t="shared" si="426"/>
        <v>0</v>
      </c>
      <c r="K120" s="41">
        <f t="shared" si="426"/>
        <v>0</v>
      </c>
      <c r="L120" s="41">
        <f t="shared" si="426"/>
        <v>0</v>
      </c>
      <c r="M120" s="41">
        <f t="shared" si="426"/>
        <v>0</v>
      </c>
      <c r="N120" s="41">
        <f t="shared" si="426"/>
        <v>0</v>
      </c>
      <c r="O120" s="41">
        <f t="shared" si="426"/>
        <v>0</v>
      </c>
      <c r="P120" s="41">
        <f t="shared" si="426"/>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850"/>
      <c r="H124" s="850"/>
      <c r="I124" s="850"/>
      <c r="J124" s="850"/>
      <c r="K124" s="851"/>
      <c r="L124" s="850"/>
      <c r="M124" s="850"/>
      <c r="N124" s="850"/>
      <c r="O124" s="850"/>
      <c r="P124" s="850"/>
    </row>
    <row r="125" spans="2:16" ht="15" customHeight="1">
      <c r="B125" s="9" t="s">
        <v>1229</v>
      </c>
      <c r="C125" s="1468" t="s">
        <v>3989</v>
      </c>
      <c r="D125" s="1469"/>
      <c r="E125" s="1469"/>
      <c r="F125" s="1470"/>
      <c r="G125" s="852">
        <v>15250</v>
      </c>
      <c r="H125" s="852">
        <v>17000</v>
      </c>
      <c r="I125" s="852">
        <v>19000</v>
      </c>
      <c r="J125" s="852">
        <v>21250</v>
      </c>
      <c r="K125" s="853">
        <v>23250</v>
      </c>
      <c r="L125" s="852">
        <v>25750</v>
      </c>
      <c r="M125" s="852">
        <v>28000</v>
      </c>
      <c r="N125" s="852">
        <v>30500</v>
      </c>
      <c r="O125" s="852">
        <v>33250</v>
      </c>
      <c r="P125" s="852">
        <v>36250</v>
      </c>
    </row>
    <row r="126" spans="2:16" ht="15" customHeight="1">
      <c r="C126" s="121" t="s">
        <v>250</v>
      </c>
      <c r="G126" s="41">
        <f t="shared" ref="G126:P126" si="427">SUM(G123:G125)</f>
        <v>15250</v>
      </c>
      <c r="H126" s="41">
        <f t="shared" si="427"/>
        <v>17000</v>
      </c>
      <c r="I126" s="41">
        <f t="shared" si="427"/>
        <v>19000</v>
      </c>
      <c r="J126" s="41">
        <f t="shared" si="427"/>
        <v>21250</v>
      </c>
      <c r="K126" s="41">
        <f t="shared" si="427"/>
        <v>23250</v>
      </c>
      <c r="L126" s="41">
        <f t="shared" si="427"/>
        <v>25750</v>
      </c>
      <c r="M126" s="41">
        <f t="shared" si="427"/>
        <v>28000</v>
      </c>
      <c r="N126" s="41">
        <f t="shared" si="427"/>
        <v>30500</v>
      </c>
      <c r="O126" s="41">
        <f t="shared" si="427"/>
        <v>33250</v>
      </c>
      <c r="P126" s="41">
        <f t="shared" si="427"/>
        <v>36250</v>
      </c>
    </row>
    <row r="127" spans="2:16" ht="42.6" customHeight="1">
      <c r="B127" s="16"/>
      <c r="G127" s="44"/>
      <c r="P127" s="9"/>
    </row>
    <row r="128" spans="2:16" ht="13.95"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1632</v>
      </c>
      <c r="G129" s="850"/>
      <c r="H129" s="850"/>
      <c r="I129" s="850"/>
      <c r="J129" s="850"/>
      <c r="K129" s="851"/>
      <c r="L129" s="850"/>
      <c r="M129" s="850"/>
      <c r="N129" s="850"/>
      <c r="O129" s="850"/>
      <c r="P129" s="850"/>
    </row>
    <row r="130" spans="1:219" ht="15" customHeight="1">
      <c r="B130" s="9" t="s">
        <v>1229</v>
      </c>
      <c r="C130" s="1468"/>
      <c r="D130" s="1469"/>
      <c r="E130" s="1469"/>
      <c r="F130" s="1470"/>
      <c r="G130" s="852"/>
      <c r="H130" s="852"/>
      <c r="I130" s="852"/>
      <c r="J130" s="852"/>
      <c r="K130" s="853"/>
      <c r="L130" s="852"/>
      <c r="M130" s="852"/>
      <c r="N130" s="852"/>
      <c r="O130" s="852"/>
      <c r="P130" s="852"/>
    </row>
    <row r="131" spans="1:219" ht="15" customHeight="1">
      <c r="C131" s="121" t="s">
        <v>1522</v>
      </c>
      <c r="G131" s="41">
        <f t="shared" ref="G131:P131" si="428">SUM(G129:G130)</f>
        <v>0</v>
      </c>
      <c r="H131" s="41">
        <f t="shared" si="428"/>
        <v>0</v>
      </c>
      <c r="I131" s="41">
        <f t="shared" si="428"/>
        <v>0</v>
      </c>
      <c r="J131" s="41">
        <f t="shared" si="428"/>
        <v>0</v>
      </c>
      <c r="K131" s="41">
        <f t="shared" si="428"/>
        <v>0</v>
      </c>
      <c r="L131" s="41">
        <f t="shared" si="428"/>
        <v>0</v>
      </c>
      <c r="M131" s="41">
        <f t="shared" si="428"/>
        <v>0</v>
      </c>
      <c r="N131" s="41">
        <f t="shared" si="428"/>
        <v>0</v>
      </c>
      <c r="O131" s="41">
        <f t="shared" si="428"/>
        <v>0</v>
      </c>
      <c r="P131" s="41">
        <f t="shared" si="428"/>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850"/>
      <c r="H135" s="850"/>
      <c r="I135" s="850"/>
      <c r="J135" s="850"/>
      <c r="K135" s="851"/>
      <c r="L135" s="850"/>
      <c r="M135" s="850"/>
      <c r="N135" s="850"/>
      <c r="O135" s="850"/>
      <c r="P135" s="850"/>
    </row>
    <row r="136" spans="1:219" ht="15" customHeight="1">
      <c r="B136" s="9" t="s">
        <v>1229</v>
      </c>
      <c r="C136" s="1468" t="s">
        <v>3989</v>
      </c>
      <c r="D136" s="1469"/>
      <c r="E136" s="1469"/>
      <c r="F136" s="1470"/>
      <c r="G136" s="852">
        <v>39000</v>
      </c>
      <c r="H136" s="852">
        <v>42250</v>
      </c>
      <c r="I136" s="852">
        <v>45500</v>
      </c>
      <c r="J136" s="852">
        <v>49000</v>
      </c>
      <c r="K136" s="853">
        <v>52750</v>
      </c>
      <c r="L136" s="852">
        <v>56500</v>
      </c>
      <c r="M136" s="852">
        <v>60500</v>
      </c>
      <c r="N136" s="852">
        <v>64750</v>
      </c>
      <c r="O136" s="852">
        <v>69000</v>
      </c>
      <c r="P136" s="852">
        <v>73750</v>
      </c>
    </row>
    <row r="137" spans="1:219" ht="15" customHeight="1">
      <c r="C137" s="121" t="s">
        <v>250</v>
      </c>
      <c r="G137" s="41">
        <f t="shared" ref="G137:P137" si="429">SUM(G134:G136)</f>
        <v>39000</v>
      </c>
      <c r="H137" s="41">
        <f t="shared" si="429"/>
        <v>42250</v>
      </c>
      <c r="I137" s="41">
        <f t="shared" si="429"/>
        <v>45500</v>
      </c>
      <c r="J137" s="41">
        <f t="shared" si="429"/>
        <v>49000</v>
      </c>
      <c r="K137" s="41">
        <f t="shared" si="429"/>
        <v>52750</v>
      </c>
      <c r="L137" s="41">
        <f t="shared" si="429"/>
        <v>56500</v>
      </c>
      <c r="M137" s="41">
        <f t="shared" si="429"/>
        <v>60500</v>
      </c>
      <c r="N137" s="41">
        <f t="shared" si="429"/>
        <v>64750</v>
      </c>
      <c r="O137" s="41">
        <f t="shared" si="429"/>
        <v>69000</v>
      </c>
      <c r="P137" s="41">
        <f t="shared" si="429"/>
        <v>73750</v>
      </c>
    </row>
    <row r="138" spans="1:219" ht="9.6" customHeight="1">
      <c r="B138" s="16"/>
      <c r="F138" s="44"/>
      <c r="G138" s="44"/>
      <c r="J138" s="19"/>
      <c r="P138" s="9"/>
    </row>
    <row r="139" spans="1:219" s="122" customFormat="1" ht="11.25" customHeight="1">
      <c r="A139" s="5" t="s">
        <v>2822</v>
      </c>
      <c r="B139" s="712" t="s">
        <v>1634</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477">
        <v>13771</v>
      </c>
      <c r="G142" s="1478"/>
      <c r="H142" s="2"/>
      <c r="I142" s="2" t="s">
        <v>2079</v>
      </c>
      <c r="J142" s="2"/>
      <c r="K142" s="1477"/>
      <c r="L142" s="1478"/>
      <c r="M142" s="2"/>
      <c r="N142" s="2" t="s">
        <v>1523</v>
      </c>
      <c r="O142" s="2"/>
      <c r="P142" s="854">
        <v>15542</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477">
        <v>17166</v>
      </c>
      <c r="G143" s="1478"/>
      <c r="H143" s="2"/>
      <c r="I143" s="2" t="s">
        <v>2080</v>
      </c>
      <c r="J143" s="2"/>
      <c r="K143" s="1477"/>
      <c r="L143" s="1478"/>
      <c r="M143" s="2"/>
      <c r="N143" s="2" t="s">
        <v>200</v>
      </c>
      <c r="O143" s="2"/>
      <c r="P143" s="854">
        <v>4736</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477"/>
      <c r="G144" s="1478"/>
      <c r="H144" s="2"/>
      <c r="I144" s="2"/>
      <c r="J144" s="168" t="s">
        <v>249</v>
      </c>
      <c r="K144" s="1488">
        <f>SUM(K142:L143)</f>
        <v>0</v>
      </c>
      <c r="L144" s="1489"/>
      <c r="M144" s="2"/>
      <c r="N144" s="1481" t="s">
        <v>3992</v>
      </c>
      <c r="O144" s="1482"/>
      <c r="P144" s="855">
        <v>588</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485" t="s">
        <v>3990</v>
      </c>
      <c r="C145" s="1486"/>
      <c r="D145" s="1486"/>
      <c r="E145" s="1487"/>
      <c r="F145" s="1473">
        <v>10753</v>
      </c>
      <c r="G145" s="1474"/>
      <c r="H145" s="2"/>
      <c r="I145" s="2"/>
      <c r="J145" s="2"/>
      <c r="K145" s="2"/>
      <c r="L145" s="2"/>
      <c r="M145" s="2"/>
      <c r="N145" s="13" t="s">
        <v>249</v>
      </c>
      <c r="O145" s="2"/>
      <c r="P145" s="665">
        <f>SUM(P142:P144)</f>
        <v>20866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1488">
        <f>SUM(F142:G145)</f>
        <v>41690</v>
      </c>
      <c r="G146" s="1489"/>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22592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477">
        <v>2640</v>
      </c>
      <c r="G149" s="1478"/>
      <c r="H149" s="2"/>
      <c r="I149" s="2" t="s">
        <v>2363</v>
      </c>
      <c r="J149" s="2"/>
      <c r="K149" s="1490">
        <v>1104</v>
      </c>
      <c r="L149" s="1491"/>
      <c r="M149" s="2"/>
      <c r="N149" s="610">
        <f>+P148/(M63*0.93)</f>
        <v>495.76475751590959</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477">
        <v>2700</v>
      </c>
      <c r="G150" s="1478"/>
      <c r="H150" s="2"/>
      <c r="I150" s="2" t="s">
        <v>3139</v>
      </c>
      <c r="J150" s="2"/>
      <c r="K150" s="1479">
        <v>7500</v>
      </c>
      <c r="L150" s="1480"/>
      <c r="M150" s="2"/>
      <c r="N150" s="610">
        <f>+P148/(M63*0.93)/12</f>
        <v>41.313729792992469</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477">
        <v>875</v>
      </c>
      <c r="G151" s="1478"/>
      <c r="H151" s="2"/>
      <c r="I151" s="2" t="s">
        <v>2364</v>
      </c>
      <c r="J151" s="2"/>
      <c r="K151" s="1479">
        <v>1140</v>
      </c>
      <c r="L151" s="1480"/>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477"/>
      <c r="G152" s="1478"/>
      <c r="H152" s="2"/>
      <c r="I152" s="1481" t="s">
        <v>60</v>
      </c>
      <c r="J152" s="1482"/>
      <c r="K152" s="1490"/>
      <c r="L152" s="1491"/>
      <c r="M152" s="2"/>
      <c r="N152" s="1498" t="s">
        <v>3731</v>
      </c>
      <c r="O152" s="1499"/>
      <c r="P152" s="149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477">
        <v>2480</v>
      </c>
      <c r="G153" s="1478"/>
      <c r="H153" s="2"/>
      <c r="I153" s="11"/>
      <c r="J153" s="13" t="s">
        <v>249</v>
      </c>
      <c r="K153" s="1475">
        <f>SUM(K149:K152)</f>
        <v>9744</v>
      </c>
      <c r="L153" s="1476"/>
      <c r="M153" s="2"/>
      <c r="N153" s="1499"/>
      <c r="O153" s="1499"/>
      <c r="P153" s="149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485" t="s">
        <v>60</v>
      </c>
      <c r="C154" s="1486"/>
      <c r="D154" s="1486"/>
      <c r="E154" s="1487"/>
      <c r="F154" s="1473"/>
      <c r="G154" s="1474"/>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1488">
        <f>SUM(F149:G154)</f>
        <v>8695</v>
      </c>
      <c r="G155" s="1489"/>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1992</v>
      </c>
      <c r="C157" s="2"/>
      <c r="D157" s="10"/>
      <c r="E157" s="2"/>
      <c r="F157" s="2"/>
      <c r="G157" s="2"/>
      <c r="H157" s="2"/>
      <c r="I157" s="11" t="s">
        <v>2076</v>
      </c>
      <c r="J157" s="715"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483">
        <v>3621</v>
      </c>
      <c r="G158" s="1484"/>
      <c r="H158" s="2"/>
      <c r="I158" s="2" t="s">
        <v>2069</v>
      </c>
      <c r="J158" s="662">
        <f>K158/12/$M$63</f>
        <v>7.0408163265306118</v>
      </c>
      <c r="K158" s="1479">
        <v>4140</v>
      </c>
      <c r="L158" s="1480"/>
      <c r="M158" s="2"/>
      <c r="N158" s="368">
        <f>+$P$158/$M$63</f>
        <v>3265.9795918367345</v>
      </c>
      <c r="O158" s="30" t="s">
        <v>2109</v>
      </c>
      <c r="P158" s="663">
        <f>F146+F155+F166+K144+K153+K163+P145+P148</f>
        <v>160033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483">
        <v>2000</v>
      </c>
      <c r="G159" s="1484"/>
      <c r="H159" s="2"/>
      <c r="I159" s="2" t="s">
        <v>2070</v>
      </c>
      <c r="J159" s="662">
        <f>K159/12/$M$63</f>
        <v>2.0408163265306123</v>
      </c>
      <c r="K159" s="1479">
        <v>1200</v>
      </c>
      <c r="L159" s="1480"/>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483">
        <v>800</v>
      </c>
      <c r="G160" s="1484"/>
      <c r="H160" s="2"/>
      <c r="I160" s="2" t="s">
        <v>3552</v>
      </c>
      <c r="J160" s="662">
        <f>K160/12/$M$63</f>
        <v>4.1836734693877551</v>
      </c>
      <c r="K160" s="1479">
        <v>2460</v>
      </c>
      <c r="L160" s="1480"/>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477">
        <v>3000</v>
      </c>
      <c r="G161" s="1478"/>
      <c r="H161" s="2"/>
      <c r="I161" s="2" t="s">
        <v>2072</v>
      </c>
      <c r="J161" s="2"/>
      <c r="K161" s="1479">
        <v>780</v>
      </c>
      <c r="L161" s="1480"/>
      <c r="M161" s="2"/>
      <c r="N161" s="11" t="s">
        <v>1921</v>
      </c>
      <c r="O161" s="11"/>
      <c r="P161" s="664">
        <f>P162*M63</f>
        <v>17150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477">
        <v>4285</v>
      </c>
      <c r="G162" s="1478"/>
      <c r="H162" s="2"/>
      <c r="I162" s="1481" t="s">
        <v>60</v>
      </c>
      <c r="J162" s="1482"/>
      <c r="K162" s="1490"/>
      <c r="L162" s="1491"/>
      <c r="M162" s="2"/>
      <c r="N162" s="30" t="s">
        <v>679</v>
      </c>
      <c r="O162" s="2"/>
      <c r="P162" s="856">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477"/>
      <c r="G163" s="1478"/>
      <c r="H163" s="2"/>
      <c r="I163" s="2"/>
      <c r="J163" s="13" t="s">
        <v>249</v>
      </c>
      <c r="K163" s="1475">
        <f>SUM(K158:K162)</f>
        <v>8580</v>
      </c>
      <c r="L163" s="1476"/>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477">
        <v>1860</v>
      </c>
      <c r="G164" s="1478"/>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485" t="s">
        <v>3991</v>
      </c>
      <c r="C165" s="1486"/>
      <c r="D165" s="1486"/>
      <c r="E165" s="1487"/>
      <c r="F165" s="1473">
        <v>32300</v>
      </c>
      <c r="G165" s="1474"/>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1471">
        <f>SUM(F158:G165)</f>
        <v>47866</v>
      </c>
      <c r="G166" s="1472"/>
      <c r="H166" s="2"/>
      <c r="I166" s="2"/>
      <c r="J166" s="14"/>
      <c r="K166" s="2"/>
      <c r="L166" s="2"/>
      <c r="M166" s="2"/>
      <c r="N166" s="2"/>
      <c r="O166" s="2"/>
      <c r="P166" s="663">
        <f>P158+P161</f>
        <v>177183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878</v>
      </c>
      <c r="K168" s="16" t="s">
        <v>821</v>
      </c>
      <c r="L168" s="16" t="s">
        <v>2896</v>
      </c>
    </row>
    <row r="169" spans="1:219" ht="51.6" customHeight="1">
      <c r="A169" s="1008" t="s">
        <v>4028</v>
      </c>
      <c r="B169" s="1009"/>
      <c r="C169" s="1009"/>
      <c r="D169" s="1009"/>
      <c r="E169" s="1009"/>
      <c r="F169" s="1009"/>
      <c r="G169" s="1009"/>
      <c r="H169" s="1009"/>
      <c r="I169" s="1009"/>
      <c r="J169" s="1010"/>
      <c r="K169" s="1011"/>
      <c r="L169" s="1012"/>
      <c r="M169" s="1012"/>
      <c r="N169" s="1012"/>
      <c r="O169" s="1012"/>
      <c r="P169" s="1013"/>
    </row>
    <row r="170" spans="1:219" s="122" customFormat="1" ht="51.6" customHeight="1">
      <c r="A170" s="1005" t="s">
        <v>4029</v>
      </c>
      <c r="B170" s="1006"/>
      <c r="C170" s="1006"/>
      <c r="D170" s="1006"/>
      <c r="E170" s="1006"/>
      <c r="F170" s="1006"/>
      <c r="G170" s="1006"/>
      <c r="H170" s="1006"/>
      <c r="I170" s="1006"/>
      <c r="J170" s="1007"/>
      <c r="K170" s="1002"/>
      <c r="L170" s="1003"/>
      <c r="M170" s="1003"/>
      <c r="N170" s="1003"/>
      <c r="O170" s="1003"/>
      <c r="P170" s="1004"/>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144" customHeight="1">
      <c r="A171" s="1014" t="s">
        <v>4039</v>
      </c>
      <c r="B171" s="1015"/>
      <c r="C171" s="1015"/>
      <c r="D171" s="1015"/>
      <c r="E171" s="1015"/>
      <c r="F171" s="1015"/>
      <c r="G171" s="1015"/>
      <c r="H171" s="1015"/>
      <c r="I171" s="1015"/>
      <c r="J171" s="1016"/>
      <c r="K171" s="1017"/>
      <c r="L171" s="1018"/>
      <c r="M171" s="1018"/>
      <c r="N171" s="1018"/>
      <c r="O171" s="1018"/>
      <c r="P171" s="101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C20" sheet="1" objects="1" scenarios="1" formatCells="0"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150" zoomScaleNormal="150" workbookViewId="0">
      <selection activeCell="G6" sqref="G6"/>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510" t="str">
        <f>CONCATENATE("PART SEVEN - OPERATING PRO FORMA","  -  ",'Part I-Project Information'!$O$4," ",'Part I-Project Information'!$F$22,", ",'Part I-Project Information'!F24,", ",'Part I-Project Information'!J25," County")</f>
        <v>PART SEVEN - OPERATING PRO FORMA  -  2011-003 Pecan Point Apartments, Cochran, Bleckley County</v>
      </c>
      <c r="B1" s="1511"/>
      <c r="C1" s="1511"/>
      <c r="D1" s="1511"/>
      <c r="E1" s="1511"/>
      <c r="F1" s="1511"/>
      <c r="G1" s="1511"/>
      <c r="H1" s="1511"/>
      <c r="I1" s="1511"/>
      <c r="J1" s="1511"/>
      <c r="K1" s="1512"/>
      <c r="L1" s="11"/>
      <c r="M1" s="11"/>
      <c r="N1" s="11"/>
      <c r="O1" s="11"/>
    </row>
    <row r="2" spans="1:15" ht="4.2" customHeight="1"/>
    <row r="3" spans="1:15">
      <c r="A3" s="16" t="s">
        <v>100</v>
      </c>
      <c r="D3" s="16" t="s">
        <v>90</v>
      </c>
      <c r="E3" s="305"/>
      <c r="F3" s="401" t="s">
        <v>1669</v>
      </c>
    </row>
    <row r="4" spans="1:15" ht="2.4" customHeight="1">
      <c r="A4" s="19"/>
      <c r="B4" s="19"/>
      <c r="C4" s="19"/>
      <c r="H4" s="19"/>
      <c r="I4" s="19"/>
    </row>
    <row r="5" spans="1:15">
      <c r="A5" s="19" t="s">
        <v>3294</v>
      </c>
      <c r="B5" s="108">
        <v>0.02</v>
      </c>
      <c r="C5" s="19"/>
      <c r="D5" s="19" t="s">
        <v>1364</v>
      </c>
      <c r="F5" s="19"/>
      <c r="G5" s="818"/>
      <c r="H5" s="132" t="s">
        <v>2970</v>
      </c>
      <c r="K5" s="138">
        <f>IF(($B$14+$B$15+$B$16+$B$17)=0,"",-B30/($B$14+$B$15+$B$16+$B$17))</f>
        <v>0</v>
      </c>
    </row>
    <row r="6" spans="1:15">
      <c r="A6" s="19" t="s">
        <v>3295</v>
      </c>
      <c r="B6" s="108">
        <v>0.03</v>
      </c>
      <c r="C6" s="19"/>
      <c r="D6" s="19" t="s">
        <v>1365</v>
      </c>
      <c r="F6" s="19"/>
      <c r="G6" s="818"/>
      <c r="H6" s="132" t="s">
        <v>3586</v>
      </c>
      <c r="K6" s="138">
        <f>IF(($B$14+$B$15+$B$16+$B$17)=0,"",-B32/($B$14+$B$15+$B$16+$B$17))</f>
        <v>0</v>
      </c>
    </row>
    <row r="7" spans="1:15">
      <c r="A7" s="19" t="s">
        <v>3297</v>
      </c>
      <c r="B7" s="108">
        <v>0.03</v>
      </c>
      <c r="C7" s="19"/>
      <c r="D7" s="110" t="s">
        <v>357</v>
      </c>
      <c r="G7" s="112"/>
      <c r="H7" s="132" t="s">
        <v>3587</v>
      </c>
      <c r="K7" s="138">
        <f>IF(($B$14+$B$15+$B$16+$B$17)=0,"",-B20/($B$14+$B$15+$B$16+$B$17))</f>
        <v>0.10397522927127149</v>
      </c>
    </row>
    <row r="8" spans="1:15" ht="13.2" customHeight="1">
      <c r="A8" s="19" t="s">
        <v>3296</v>
      </c>
      <c r="B8" s="819">
        <v>7.0000000000000007E-2</v>
      </c>
      <c r="C8" s="19"/>
      <c r="D8" s="109" t="s">
        <v>3788</v>
      </c>
      <c r="G8" s="820" t="s">
        <v>3918</v>
      </c>
      <c r="H8" s="232" t="s">
        <v>2167</v>
      </c>
      <c r="K8" s="821">
        <v>22592</v>
      </c>
    </row>
    <row r="9" spans="1:15">
      <c r="A9" s="19" t="s">
        <v>2128</v>
      </c>
      <c r="B9" s="108">
        <v>0.02</v>
      </c>
      <c r="D9" s="109" t="s">
        <v>2742</v>
      </c>
      <c r="G9" s="820" t="s">
        <v>3919</v>
      </c>
      <c r="H9" s="232" t="s">
        <v>3560</v>
      </c>
      <c r="K9" s="822"/>
    </row>
    <row r="10" spans="1:15" ht="4.2" customHeight="1"/>
    <row r="11" spans="1:15">
      <c r="A11" s="16" t="s">
        <v>101</v>
      </c>
    </row>
    <row r="12" spans="1:15" ht="2.4" customHeight="1"/>
    <row r="13" spans="1:15" ht="14.4"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3641</v>
      </c>
      <c r="B14" s="22">
        <f>'Part VI-Revenues &amp; Expenses'!L49</f>
        <v>229056</v>
      </c>
      <c r="C14" s="22">
        <f t="shared" ref="C14:K14" si="1">$B$14*(1+$B$5)^(C13-1)</f>
        <v>233637.12</v>
      </c>
      <c r="D14" s="22">
        <f t="shared" si="1"/>
        <v>238309.86239999998</v>
      </c>
      <c r="E14" s="22">
        <f t="shared" si="1"/>
        <v>243076.05964799999</v>
      </c>
      <c r="F14" s="22">
        <f t="shared" si="1"/>
        <v>247937.58084096</v>
      </c>
      <c r="G14" s="22">
        <f t="shared" si="1"/>
        <v>252896.33245777921</v>
      </c>
      <c r="H14" s="22">
        <f t="shared" si="1"/>
        <v>257954.2591069348</v>
      </c>
      <c r="I14" s="22">
        <f t="shared" si="1"/>
        <v>263113.34428907343</v>
      </c>
      <c r="J14" s="22">
        <f t="shared" si="1"/>
        <v>268375.61117485492</v>
      </c>
      <c r="K14" s="23">
        <f t="shared" si="1"/>
        <v>273743.12339835201</v>
      </c>
    </row>
    <row r="15" spans="1:15" ht="13.2" customHeight="1">
      <c r="A15" s="24" t="s">
        <v>1631</v>
      </c>
      <c r="B15" s="25">
        <f>MIN(B14*B9,'Part VI-Revenues &amp; Expenses'!G102)</f>
        <v>4581.12</v>
      </c>
      <c r="C15" s="25">
        <f t="shared" ref="C15:K15" si="2">$B$15*(1+$B$5)^(C13-1)</f>
        <v>4672.7424000000001</v>
      </c>
      <c r="D15" s="25">
        <f t="shared" si="2"/>
        <v>4766.1972479999995</v>
      </c>
      <c r="E15" s="25">
        <f t="shared" si="2"/>
        <v>4861.52119296</v>
      </c>
      <c r="F15" s="25">
        <f t="shared" si="2"/>
        <v>4958.7516168191996</v>
      </c>
      <c r="G15" s="25">
        <f t="shared" si="2"/>
        <v>5057.9266491555836</v>
      </c>
      <c r="H15" s="25">
        <f t="shared" si="2"/>
        <v>5159.0851821386959</v>
      </c>
      <c r="I15" s="25">
        <f t="shared" si="2"/>
        <v>5262.2668857814688</v>
      </c>
      <c r="J15" s="25">
        <f t="shared" si="2"/>
        <v>5367.5122234970986</v>
      </c>
      <c r="K15" s="26">
        <f t="shared" si="2"/>
        <v>5474.8624679670402</v>
      </c>
    </row>
    <row r="16" spans="1:15" ht="13.2" customHeight="1">
      <c r="A16" s="24" t="s">
        <v>3642</v>
      </c>
      <c r="B16" s="25">
        <f t="shared" ref="B16:K16" si="3">-(B14+B15)*$B$8</f>
        <v>-16354.598400000001</v>
      </c>
      <c r="C16" s="25">
        <f t="shared" si="3"/>
        <v>-16681.690368</v>
      </c>
      <c r="D16" s="25">
        <f t="shared" si="3"/>
        <v>-17015.324175360001</v>
      </c>
      <c r="E16" s="25">
        <f t="shared" si="3"/>
        <v>-17355.630658867201</v>
      </c>
      <c r="F16" s="25">
        <f t="shared" si="3"/>
        <v>-17702.743272044547</v>
      </c>
      <c r="G16" s="25">
        <f t="shared" si="3"/>
        <v>-18056.798137485439</v>
      </c>
      <c r="H16" s="25">
        <f t="shared" si="3"/>
        <v>-18417.934100235147</v>
      </c>
      <c r="I16" s="25">
        <f t="shared" si="3"/>
        <v>-18786.292782239845</v>
      </c>
      <c r="J16" s="25">
        <f t="shared" si="3"/>
        <v>-19162.018637884641</v>
      </c>
      <c r="K16" s="26">
        <f t="shared" si="3"/>
        <v>-19545.259010642334</v>
      </c>
    </row>
    <row r="17" spans="1:11" ht="13.2"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62</v>
      </c>
      <c r="B18" s="25">
        <f>'Part VI-Revenues &amp; Expenses'!G115</f>
        <v>2000</v>
      </c>
      <c r="C18" s="25">
        <f>'Part VI-Revenues &amp; Expenses'!H115</f>
        <v>3000</v>
      </c>
      <c r="D18" s="25">
        <f>'Part VI-Revenues &amp; Expenses'!I115</f>
        <v>4000</v>
      </c>
      <c r="E18" s="25">
        <f>'Part VI-Revenues &amp; Expenses'!J115</f>
        <v>5000</v>
      </c>
      <c r="F18" s="25">
        <f>'Part VI-Revenues &amp; Expenses'!K115</f>
        <v>6250</v>
      </c>
      <c r="G18" s="25">
        <f>'Part VI-Revenues &amp; Expenses'!L115</f>
        <v>7500</v>
      </c>
      <c r="H18" s="25">
        <f>'Part VI-Revenues &amp; Expenses'!M115</f>
        <v>8750</v>
      </c>
      <c r="I18" s="25">
        <f>'Part VI-Revenues &amp; Expenses'!N115</f>
        <v>10250</v>
      </c>
      <c r="J18" s="25">
        <f>'Part VI-Revenues &amp; Expenses'!O115</f>
        <v>11750</v>
      </c>
      <c r="K18" s="26">
        <f>'Part VI-Revenues &amp; Expenses'!P115</f>
        <v>13500</v>
      </c>
    </row>
    <row r="19" spans="1:11" ht="13.2" customHeight="1">
      <c r="A19" s="24" t="s">
        <v>947</v>
      </c>
      <c r="B19" s="25">
        <f>-('Part VI-Revenues &amp; Expenses'!P158-'Part VI-Revenues &amp; Expenses'!P148)</f>
        <v>-137441</v>
      </c>
      <c r="C19" s="25">
        <f t="shared" ref="C19:K19" si="4">$B$19*(1+$B$6)^(C13-1)</f>
        <v>-141564.23000000001</v>
      </c>
      <c r="D19" s="25">
        <f t="shared" si="4"/>
        <v>-145811.1569</v>
      </c>
      <c r="E19" s="25">
        <f t="shared" si="4"/>
        <v>-150185.491607</v>
      </c>
      <c r="F19" s="25">
        <f t="shared" si="4"/>
        <v>-154691.05635520999</v>
      </c>
      <c r="G19" s="25">
        <f t="shared" si="4"/>
        <v>-159331.78804586627</v>
      </c>
      <c r="H19" s="25">
        <f t="shared" si="4"/>
        <v>-164111.74168724229</v>
      </c>
      <c r="I19" s="25">
        <f t="shared" si="4"/>
        <v>-169035.09393785955</v>
      </c>
      <c r="J19" s="25">
        <f t="shared" si="4"/>
        <v>-174106.14675599532</v>
      </c>
      <c r="K19" s="26">
        <f t="shared" si="4"/>
        <v>-179329.3311586752</v>
      </c>
    </row>
    <row r="20" spans="1:11" ht="13.2" customHeight="1">
      <c r="A20" s="24" t="s">
        <v>1745</v>
      </c>
      <c r="B20" s="25">
        <f>IF(AND('Part VII-Pro Forma'!$G$8="Yes",'Part VII-Pro Forma'!$G$9="Yes"),"Choose One!",IF('Part VII-Pro Forma'!$G$8="Yes",ROUND((-$K$8*(1+'Part VII-Pro Forma'!$B$6)^('Part VII-Pro Forma'!B13-1)),),IF('Part VII-Pro Forma'!$G$9="Yes",ROUND((-(SUM(B14:B17)*'Part VII-Pro Forma'!$K$9)),),"Choose mgt fee")))</f>
        <v>-22592</v>
      </c>
      <c r="C20" s="25">
        <f>IF(AND('Part VII-Pro Forma'!$G$8="Yes",'Part VII-Pro Forma'!$G$9="Yes"),"Choose One!",IF('Part VII-Pro Forma'!$G$8="Yes",ROUND((-$K$8*(1+'Part VII-Pro Forma'!$B$6)^('Part VII-Pro Forma'!C13-1)),),IF('Part VII-Pro Forma'!$G$9="Yes",ROUND((-(SUM(C14:C17)*'Part VII-Pro Forma'!$K$9)),),"Choose mgt fee")))</f>
        <v>-23270</v>
      </c>
      <c r="D20" s="25">
        <f>IF(AND('Part VII-Pro Forma'!$G$8="Yes",'Part VII-Pro Forma'!$G$9="Yes"),"Choose One!",IF('Part VII-Pro Forma'!$G$8="Yes",ROUND((-$K$8*(1+'Part VII-Pro Forma'!$B$6)^('Part VII-Pro Forma'!D13-1)),),IF('Part VII-Pro Forma'!$G$9="Yes",ROUND((-(SUM(D14:D17)*'Part VII-Pro Forma'!$K$9)),),"Choose mgt fee")))</f>
        <v>-23968</v>
      </c>
      <c r="E20" s="25">
        <f>IF(AND('Part VII-Pro Forma'!$G$8="Yes",'Part VII-Pro Forma'!$G$9="Yes"),"Choose One!",IF('Part VII-Pro Forma'!$G$8="Yes",ROUND((-$K$8*(1+'Part VII-Pro Forma'!$B$6)^('Part VII-Pro Forma'!E13-1)),),IF('Part VII-Pro Forma'!$G$9="Yes",ROUND((-(SUM(E14:E17)*'Part VII-Pro Forma'!$K$9)),),"Choose mgt fee")))</f>
        <v>-24687</v>
      </c>
      <c r="F20" s="25">
        <f>IF(AND('Part VII-Pro Forma'!$G$8="Yes",'Part VII-Pro Forma'!$G$9="Yes"),"Choose One!",IF('Part VII-Pro Forma'!$G$8="Yes",ROUND((-$K$8*(1+'Part VII-Pro Forma'!$B$6)^('Part VII-Pro Forma'!F13-1)),),IF('Part VII-Pro Forma'!$G$9="Yes",ROUND((-(SUM(F14:F17)*'Part VII-Pro Forma'!$K$9)),),"Choose mgt fee")))</f>
        <v>-25427</v>
      </c>
      <c r="G20" s="25">
        <f>IF(AND('Part VII-Pro Forma'!$G$8="Yes",'Part VII-Pro Forma'!$G$9="Yes"),"Choose One!",IF('Part VII-Pro Forma'!$G$8="Yes",ROUND((-$K$8*(1+'Part VII-Pro Forma'!$B$6)^('Part VII-Pro Forma'!G13-1)),),IF('Part VII-Pro Forma'!$G$9="Yes",ROUND((-(SUM(G14:G17)*'Part VII-Pro Forma'!$K$9)),),"Choose mgt fee")))</f>
        <v>-26190</v>
      </c>
      <c r="H20" s="25">
        <f>IF(AND('Part VII-Pro Forma'!$G$8="Yes",'Part VII-Pro Forma'!$G$9="Yes"),"Choose One!",IF('Part VII-Pro Forma'!$G$8="Yes",ROUND((-$K$8*(1+'Part VII-Pro Forma'!$B$6)^('Part VII-Pro Forma'!H13-1)),),IF('Part VII-Pro Forma'!$G$9="Yes",ROUND((-(SUM(H14:H17)*'Part VII-Pro Forma'!$K$9)),),"Choose mgt fee")))</f>
        <v>-26976</v>
      </c>
      <c r="I20" s="25">
        <f>IF(AND('Part VII-Pro Forma'!$G$8="Yes",'Part VII-Pro Forma'!$G$9="Yes"),"Choose One!",IF('Part VII-Pro Forma'!$G$8="Yes",ROUND((-$K$8*(1+'Part VII-Pro Forma'!$B$6)^('Part VII-Pro Forma'!I13-1)),),IF('Part VII-Pro Forma'!$G$9="Yes",ROUND((-(SUM(I14:I17)*'Part VII-Pro Forma'!$K$9)),),"Choose mgt fee")))</f>
        <v>-27785</v>
      </c>
      <c r="J20" s="25">
        <f>IF(AND('Part VII-Pro Forma'!$G$8="Yes",'Part VII-Pro Forma'!$G$9="Yes"),"Choose One!",IF('Part VII-Pro Forma'!$G$8="Yes",ROUND((-$K$8*(1+'Part VII-Pro Forma'!$B$6)^('Part VII-Pro Forma'!J13-1)),),IF('Part VII-Pro Forma'!$G$9="Yes",ROUND((-(SUM(J14:J17)*'Part VII-Pro Forma'!$K$9)),),"Choose mgt fee")))</f>
        <v>-28619</v>
      </c>
      <c r="K20" s="25">
        <f>IF(AND('Part VII-Pro Forma'!$G$8="Yes",'Part VII-Pro Forma'!$G$9="Yes"),"Choose One!",IF('Part VII-Pro Forma'!$G$8="Yes",ROUND((-$K$8*(1+'Part VII-Pro Forma'!$B$6)^('Part VII-Pro Forma'!K13-1)),),IF('Part VII-Pro Forma'!$G$9="Yes",ROUND((-(SUM(K14:K17)*'Part VII-Pro Forma'!$K$9)),),"Choose mgt fee")))</f>
        <v>-29477</v>
      </c>
    </row>
    <row r="21" spans="1:11" ht="13.2" customHeight="1">
      <c r="A21" s="24" t="s">
        <v>1861</v>
      </c>
      <c r="B21" s="25">
        <f>-('Part VI-Revenues &amp; Expenses'!P161)</f>
        <v>-17150</v>
      </c>
      <c r="C21" s="25">
        <f t="shared" ref="C21:K21" si="5">$B$21*(1+$B$7)^(C13-1)</f>
        <v>-17664.5</v>
      </c>
      <c r="D21" s="25">
        <f t="shared" si="5"/>
        <v>-18194.434999999998</v>
      </c>
      <c r="E21" s="25">
        <f t="shared" si="5"/>
        <v>-18740.268049999999</v>
      </c>
      <c r="F21" s="25">
        <f t="shared" si="5"/>
        <v>-19302.476091499997</v>
      </c>
      <c r="G21" s="25">
        <f t="shared" si="5"/>
        <v>-19881.550374244998</v>
      </c>
      <c r="H21" s="25">
        <f t="shared" si="5"/>
        <v>-20477.996885472348</v>
      </c>
      <c r="I21" s="25">
        <f t="shared" si="5"/>
        <v>-21092.33679203652</v>
      </c>
      <c r="J21" s="25">
        <f t="shared" si="5"/>
        <v>-21725.106895797613</v>
      </c>
      <c r="K21" s="26">
        <f t="shared" si="5"/>
        <v>-22376.860102671544</v>
      </c>
    </row>
    <row r="22" spans="1:11" ht="13.2" customHeight="1">
      <c r="A22" s="24" t="s">
        <v>1862</v>
      </c>
      <c r="B22" s="25">
        <f t="shared" ref="B22:K22" si="6">SUM(B14:B21)</f>
        <v>42099.521600000007</v>
      </c>
      <c r="C22" s="25">
        <f t="shared" si="6"/>
        <v>42129.442031999963</v>
      </c>
      <c r="D22" s="25">
        <f t="shared" si="6"/>
        <v>42087.143572639994</v>
      </c>
      <c r="E22" s="25">
        <f t="shared" si="6"/>
        <v>41969.190525092781</v>
      </c>
      <c r="F22" s="25">
        <f t="shared" si="6"/>
        <v>42023.056739024672</v>
      </c>
      <c r="G22" s="25">
        <f t="shared" si="6"/>
        <v>41994.122549338106</v>
      </c>
      <c r="H22" s="25">
        <f t="shared" si="6"/>
        <v>41879.671616123705</v>
      </c>
      <c r="I22" s="25">
        <f t="shared" si="6"/>
        <v>41926.887662718997</v>
      </c>
      <c r="J22" s="25">
        <f t="shared" si="6"/>
        <v>41880.85110867444</v>
      </c>
      <c r="K22" s="26">
        <f t="shared" si="6"/>
        <v>41989.535594329995</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23">
        <f>IF('Part III A-Sources of Funds'!$M$33="", 0,-'Part III A-Sources of Funds'!$M$33)</f>
        <v>-33614</v>
      </c>
      <c r="C25" s="823">
        <f>IF('Part III A-Sources of Funds'!$M$33="", 0,-'Part III A-Sources of Funds'!$M$33)</f>
        <v>-33614</v>
      </c>
      <c r="D25" s="823">
        <f>IF('Part III A-Sources of Funds'!$M$33="", 0,-'Part III A-Sources of Funds'!$M$33)</f>
        <v>-33614</v>
      </c>
      <c r="E25" s="823">
        <f>IF('Part III A-Sources of Funds'!$M$33="", 0,-'Part III A-Sources of Funds'!$M$33)</f>
        <v>-33614</v>
      </c>
      <c r="F25" s="823">
        <f>IF('Part III A-Sources of Funds'!$M$33="", 0,-'Part III A-Sources of Funds'!$M$33)</f>
        <v>-33614</v>
      </c>
      <c r="G25" s="823">
        <f>IF('Part III A-Sources of Funds'!$M$33="", 0,-'Part III A-Sources of Funds'!$M$33)</f>
        <v>-33614</v>
      </c>
      <c r="H25" s="823">
        <f>IF('Part III A-Sources of Funds'!$M$33="", 0,-'Part III A-Sources of Funds'!$M$33)</f>
        <v>-33614</v>
      </c>
      <c r="I25" s="823">
        <f>IF('Part III A-Sources of Funds'!$M$33="", 0,-'Part III A-Sources of Funds'!$M$33)</f>
        <v>-33614</v>
      </c>
      <c r="J25" s="823">
        <f>IF('Part III A-Sources of Funds'!$M$33="", 0,-'Part III A-Sources of Funds'!$M$33)</f>
        <v>-33614</v>
      </c>
      <c r="K25" s="823">
        <f>IF('Part III A-Sources of Funds'!$M$33="", 0,-'Part III A-Sources of Funds'!$M$33)</f>
        <v>-33614</v>
      </c>
    </row>
    <row r="26" spans="1:11" ht="13.2" customHeight="1">
      <c r="A26" s="24" t="str">
        <f>IF('Part III A-Sources of Funds'!$E$32 = "Neither", "D/S Mortgage B","D/S Mortgage C")</f>
        <v>D/S Mortgage B</v>
      </c>
      <c r="B26" s="823">
        <f>IF('Part III A-Sources of Funds'!$M$34="", 0,-'Part III A-Sources of Funds'!$M$34)</f>
        <v>0</v>
      </c>
      <c r="C26" s="823">
        <f>IF('Part III A-Sources of Funds'!$M$34="", 0,-'Part III A-Sources of Funds'!$M$34)</f>
        <v>0</v>
      </c>
      <c r="D26" s="823">
        <f>IF('Part III A-Sources of Funds'!$M$34="", 0,-'Part III A-Sources of Funds'!$M$34)</f>
        <v>0</v>
      </c>
      <c r="E26" s="823">
        <f>IF('Part III A-Sources of Funds'!$M$34="", 0,-'Part III A-Sources of Funds'!$M$34)</f>
        <v>0</v>
      </c>
      <c r="F26" s="823">
        <f>IF('Part III A-Sources of Funds'!$M$34="", 0,-'Part III A-Sources of Funds'!$M$34)</f>
        <v>0</v>
      </c>
      <c r="G26" s="823">
        <f>IF('Part III A-Sources of Funds'!$M$34="", 0,-'Part III A-Sources of Funds'!$M$34)</f>
        <v>0</v>
      </c>
      <c r="H26" s="823">
        <f>IF('Part III A-Sources of Funds'!$M$34="", 0,-'Part III A-Sources of Funds'!$M$34)</f>
        <v>0</v>
      </c>
      <c r="I26" s="823">
        <f>IF('Part III A-Sources of Funds'!$M$34="", 0,-'Part III A-Sources of Funds'!$M$34)</f>
        <v>0</v>
      </c>
      <c r="J26" s="823">
        <f>IF('Part III A-Sources of Funds'!$M$34="", 0,-'Part III A-Sources of Funds'!$M$34)</f>
        <v>0</v>
      </c>
      <c r="K26" s="823">
        <f>IF('Part III A-Sources of Funds'!$M$34="", 0,-'Part III A-Sources of Funds'!$M$34)</f>
        <v>0</v>
      </c>
    </row>
    <row r="27" spans="1:11" ht="13.2" customHeight="1">
      <c r="A27" s="24" t="s">
        <v>1361</v>
      </c>
      <c r="B27" s="823">
        <f>IF('Part III A-Sources of Funds'!$M$35="", 0,-'Part III A-Sources of Funds'!$M$35)</f>
        <v>0</v>
      </c>
      <c r="C27" s="823">
        <f>IF('Part III A-Sources of Funds'!$M$35="", 0,-'Part III A-Sources of Funds'!$M$35)</f>
        <v>0</v>
      </c>
      <c r="D27" s="823">
        <f>IF('Part III A-Sources of Funds'!$M$35="", 0,-'Part III A-Sources of Funds'!$M$35)</f>
        <v>0</v>
      </c>
      <c r="E27" s="823">
        <f>IF('Part III A-Sources of Funds'!$M$35="", 0,-'Part III A-Sources of Funds'!$M$35)</f>
        <v>0</v>
      </c>
      <c r="F27" s="823">
        <f>IF('Part III A-Sources of Funds'!$M$35="", 0,-'Part III A-Sources of Funds'!$M$35)</f>
        <v>0</v>
      </c>
      <c r="G27" s="823">
        <f>IF('Part III A-Sources of Funds'!$M$35="", 0,-'Part III A-Sources of Funds'!$M$35)</f>
        <v>0</v>
      </c>
      <c r="H27" s="823">
        <f>IF('Part III A-Sources of Funds'!$M$35="", 0,-'Part III A-Sources of Funds'!$M$35)</f>
        <v>0</v>
      </c>
      <c r="I27" s="823">
        <f>IF('Part III A-Sources of Funds'!$M$35="", 0,-'Part III A-Sources of Funds'!$M$35)</f>
        <v>0</v>
      </c>
      <c r="J27" s="823">
        <f>IF('Part III A-Sources of Funds'!$M$35="", 0,-'Part III A-Sources of Funds'!$M$35)</f>
        <v>0</v>
      </c>
      <c r="K27" s="823">
        <f>IF('Part III A-Sources of Funds'!$M$35="", 0,-'Part III A-Sources of Funds'!$M$35)</f>
        <v>0</v>
      </c>
    </row>
    <row r="28" spans="1:11" ht="13.2" customHeight="1">
      <c r="A28" s="24" t="s">
        <v>806</v>
      </c>
      <c r="B28" s="823">
        <f>IF('Part III A-Sources of Funds'!$M$36="", 0,-'Part III A-Sources of Funds'!$M$36)</f>
        <v>0</v>
      </c>
      <c r="C28" s="823">
        <f>IF('Part III A-Sources of Funds'!$M$36="", 0,-'Part III A-Sources of Funds'!$M$36)</f>
        <v>0</v>
      </c>
      <c r="D28" s="823">
        <f>IF('Part III A-Sources of Funds'!$M$36="", 0,-'Part III A-Sources of Funds'!$M$36)</f>
        <v>0</v>
      </c>
      <c r="E28" s="823">
        <f>IF('Part III A-Sources of Funds'!$M$36="", 0,-'Part III A-Sources of Funds'!$M$36)</f>
        <v>0</v>
      </c>
      <c r="F28" s="823">
        <f>IF('Part III A-Sources of Funds'!$M$36="", 0,-'Part III A-Sources of Funds'!$M$36)</f>
        <v>0</v>
      </c>
      <c r="G28" s="823">
        <f>IF('Part III A-Sources of Funds'!$M$36="", 0,-'Part III A-Sources of Funds'!$M$36)</f>
        <v>0</v>
      </c>
      <c r="H28" s="823">
        <f>IF('Part III A-Sources of Funds'!$M$36="", 0,-'Part III A-Sources of Funds'!$M$36)</f>
        <v>0</v>
      </c>
      <c r="I28" s="823">
        <f>IF('Part III A-Sources of Funds'!$M$36="", 0,-'Part III A-Sources of Funds'!$M$36)</f>
        <v>0</v>
      </c>
      <c r="J28" s="823">
        <f>IF('Part III A-Sources of Funds'!$M$36="", 0,-'Part III A-Sources of Funds'!$M$36)</f>
        <v>0</v>
      </c>
      <c r="K28" s="823">
        <f>IF('Part III A-Sources of Funds'!$M$36="", 0,-'Part III A-Sources of Funds'!$M$36)</f>
        <v>0</v>
      </c>
    </row>
    <row r="29" spans="1:11" ht="13.2" customHeight="1">
      <c r="A29" s="24" t="s">
        <v>1335</v>
      </c>
      <c r="B29" s="824"/>
      <c r="C29" s="824"/>
      <c r="D29" s="824"/>
      <c r="E29" s="824"/>
      <c r="F29" s="824"/>
      <c r="G29" s="824"/>
      <c r="H29" s="824"/>
      <c r="I29" s="824"/>
      <c r="J29" s="824"/>
      <c r="K29" s="824"/>
    </row>
    <row r="30" spans="1:11" ht="13.2" customHeight="1">
      <c r="A30" s="24" t="s">
        <v>1806</v>
      </c>
      <c r="B30" s="823"/>
      <c r="C30" s="823"/>
      <c r="D30" s="823"/>
      <c r="E30" s="823"/>
      <c r="F30" s="823"/>
      <c r="G30" s="823"/>
      <c r="H30" s="823"/>
      <c r="I30" s="823"/>
      <c r="J30" s="823"/>
      <c r="K30" s="823"/>
    </row>
    <row r="31" spans="1:11" ht="13.2" customHeight="1">
      <c r="A31" s="24" t="s">
        <v>1863</v>
      </c>
      <c r="B31" s="823">
        <f>IF('Part III A-Sources of Funds'!$M$37="", 0,-'Part III A-Sources of Funds'!$M$37)</f>
        <v>-807</v>
      </c>
      <c r="C31" s="823"/>
      <c r="D31" s="823"/>
      <c r="E31" s="823"/>
      <c r="F31" s="823"/>
      <c r="G31" s="823"/>
      <c r="H31" s="823"/>
      <c r="I31" s="823"/>
      <c r="J31" s="823"/>
      <c r="K31" s="823"/>
    </row>
    <row r="32" spans="1:11" ht="13.2" customHeight="1">
      <c r="A32" s="24" t="s">
        <v>1807</v>
      </c>
      <c r="B32" s="825">
        <f>-$G$6</f>
        <v>0</v>
      </c>
      <c r="C32" s="825">
        <f t="shared" ref="C32:K32" si="7">+B32</f>
        <v>0</v>
      </c>
      <c r="D32" s="825">
        <f t="shared" si="7"/>
        <v>0</v>
      </c>
      <c r="E32" s="825">
        <f t="shared" si="7"/>
        <v>0</v>
      </c>
      <c r="F32" s="825">
        <f t="shared" si="7"/>
        <v>0</v>
      </c>
      <c r="G32" s="825">
        <f t="shared" si="7"/>
        <v>0</v>
      </c>
      <c r="H32" s="825">
        <f t="shared" si="7"/>
        <v>0</v>
      </c>
      <c r="I32" s="825">
        <f t="shared" si="7"/>
        <v>0</v>
      </c>
      <c r="J32" s="825">
        <f t="shared" si="7"/>
        <v>0</v>
      </c>
      <c r="K32" s="825">
        <f t="shared" si="7"/>
        <v>0</v>
      </c>
    </row>
    <row r="33" spans="1:11" ht="13.2" customHeight="1">
      <c r="A33" s="24" t="s">
        <v>1808</v>
      </c>
      <c r="B33" s="25">
        <f t="shared" ref="B33:K33" si="8">SUM(B22:B32)</f>
        <v>7678.5216000000073</v>
      </c>
      <c r="C33" s="25">
        <f t="shared" si="8"/>
        <v>8515.4420319999626</v>
      </c>
      <c r="D33" s="25">
        <f t="shared" si="8"/>
        <v>8473.1435726399941</v>
      </c>
      <c r="E33" s="25">
        <f t="shared" si="8"/>
        <v>8355.1905250927812</v>
      </c>
      <c r="F33" s="25">
        <f t="shared" si="8"/>
        <v>8409.0567390246724</v>
      </c>
      <c r="G33" s="25">
        <f t="shared" si="8"/>
        <v>8380.1225493381062</v>
      </c>
      <c r="H33" s="25">
        <f t="shared" si="8"/>
        <v>8265.6716161237055</v>
      </c>
      <c r="I33" s="25">
        <f t="shared" si="8"/>
        <v>8312.8876627189966</v>
      </c>
      <c r="J33" s="25">
        <f t="shared" si="8"/>
        <v>8266.8511086744402</v>
      </c>
      <c r="K33" s="23">
        <f t="shared" si="8"/>
        <v>8375.5355943299946</v>
      </c>
    </row>
    <row r="34" spans="1:11" ht="13.2" customHeight="1">
      <c r="A34" s="24" t="str">
        <f>IF('Part III A-Sources of Funds'!$E$32 = "Neither", "", "DCR First Mortgage")</f>
        <v/>
      </c>
      <c r="B34" s="27" t="str">
        <f>IF(B23=0,"",-B22/B23)</f>
        <v/>
      </c>
      <c r="C34" s="27" t="str">
        <f t="shared" ref="C34:K34" si="9">IF(C23=0,"",-C22/C23)</f>
        <v/>
      </c>
      <c r="D34" s="27" t="str">
        <f t="shared" si="9"/>
        <v/>
      </c>
      <c r="E34" s="27" t="str">
        <f t="shared" si="9"/>
        <v/>
      </c>
      <c r="F34" s="27" t="str">
        <f t="shared" si="9"/>
        <v/>
      </c>
      <c r="G34" s="27" t="str">
        <f t="shared" si="9"/>
        <v/>
      </c>
      <c r="H34" s="27" t="str">
        <f t="shared" si="9"/>
        <v/>
      </c>
      <c r="I34" s="27" t="str">
        <f t="shared" si="9"/>
        <v/>
      </c>
      <c r="J34" s="27" t="str">
        <f t="shared" si="9"/>
        <v/>
      </c>
      <c r="K34" s="28" t="str">
        <f t="shared" si="9"/>
        <v/>
      </c>
    </row>
    <row r="35" spans="1:11" ht="13.2" customHeight="1">
      <c r="A35" s="24" t="str">
        <f>IF('Part III A-Sources of Funds'!$E$32 = "Neither", "", "DCR USDA/HUD Fee")</f>
        <v/>
      </c>
      <c r="B35" s="27" t="str">
        <f>IF(OR(B24=0,AND(B24=0,B23=0)),"",-B22/(B23+B24))</f>
        <v/>
      </c>
      <c r="C35" s="27" t="str">
        <f t="shared" ref="C35:K35" si="10">IF(OR(C24=0,AND(C24=0,C23=0)),"",-C22/(C23+C24))</f>
        <v/>
      </c>
      <c r="D35" s="27" t="str">
        <f t="shared" si="10"/>
        <v/>
      </c>
      <c r="E35" s="27" t="str">
        <f t="shared" si="10"/>
        <v/>
      </c>
      <c r="F35" s="27" t="str">
        <f t="shared" si="10"/>
        <v/>
      </c>
      <c r="G35" s="27" t="str">
        <f t="shared" si="10"/>
        <v/>
      </c>
      <c r="H35" s="27" t="str">
        <f t="shared" si="10"/>
        <v/>
      </c>
      <c r="I35" s="27" t="str">
        <f t="shared" si="10"/>
        <v/>
      </c>
      <c r="J35" s="27" t="str">
        <f t="shared" si="10"/>
        <v/>
      </c>
      <c r="K35" s="28" t="str">
        <f t="shared" si="10"/>
        <v/>
      </c>
    </row>
    <row r="36" spans="1:11" ht="13.2" customHeight="1">
      <c r="A36" s="24" t="str">
        <f>IF('Part III A-Sources of Funds'!$E$32 = "Neither", "DCR First Mortgage", "DCR Second Mortgage")</f>
        <v>DCR First Mortgage</v>
      </c>
      <c r="B36" s="27">
        <f>IF(OR(B25=0,AND(B25=0,B24=0,B23=0)),"",-B22/(B23+B24+B25))</f>
        <v>1.2524401023383116</v>
      </c>
      <c r="C36" s="27">
        <f t="shared" ref="C36:K36" si="11">IF(OR(C25=0,AND(C25=0,C24=0,C23=0)),"",-C22/(C23+C24+C25))</f>
        <v>1.2533302205033605</v>
      </c>
      <c r="D36" s="27">
        <f t="shared" si="11"/>
        <v>1.2520718621003151</v>
      </c>
      <c r="E36" s="27">
        <f t="shared" si="11"/>
        <v>1.2485628168350325</v>
      </c>
      <c r="F36" s="27">
        <f t="shared" si="11"/>
        <v>1.2501653102583647</v>
      </c>
      <c r="G36" s="27">
        <f t="shared" si="11"/>
        <v>1.2493045323180254</v>
      </c>
      <c r="H36" s="27">
        <f t="shared" si="11"/>
        <v>1.2458996732350718</v>
      </c>
      <c r="I36" s="27">
        <f t="shared" si="11"/>
        <v>1.2473043274444873</v>
      </c>
      <c r="J36" s="27">
        <f t="shared" si="11"/>
        <v>1.2459347625594823</v>
      </c>
      <c r="K36" s="28">
        <f t="shared" si="11"/>
        <v>1.2491680726581185</v>
      </c>
    </row>
    <row r="37" spans="1:11" ht="13.2" customHeight="1">
      <c r="A37" s="24" t="str">
        <f>IF('Part III A-Sources of Funds'!$E$32 = "Neither", "DCR Second Mortgage", "DCR Third Mortgage")</f>
        <v>DCR Second Mortgage</v>
      </c>
      <c r="B37" s="27" t="str">
        <f>IF(OR(B26=0,AND(B23=0,B24=0,B25=0,B26=0)),"",-B22/(B23+B24+B25+B26))</f>
        <v/>
      </c>
      <c r="C37" s="27" t="str">
        <f t="shared" ref="C37:K37" si="12">IF(OR(C26=0,AND(C23=0,C24=0,C25=0,C26=0)),"",-C22/(C23+C24+C25+C26))</f>
        <v/>
      </c>
      <c r="D37" s="27" t="str">
        <f t="shared" si="12"/>
        <v/>
      </c>
      <c r="E37" s="27" t="str">
        <f t="shared" si="12"/>
        <v/>
      </c>
      <c r="F37" s="27" t="str">
        <f t="shared" si="12"/>
        <v/>
      </c>
      <c r="G37" s="27" t="str">
        <f t="shared" si="12"/>
        <v/>
      </c>
      <c r="H37" s="27" t="str">
        <f t="shared" si="12"/>
        <v/>
      </c>
      <c r="I37" s="27" t="str">
        <f t="shared" si="12"/>
        <v/>
      </c>
      <c r="J37" s="27" t="str">
        <f t="shared" si="12"/>
        <v/>
      </c>
      <c r="K37" s="28" t="str">
        <f t="shared" si="12"/>
        <v/>
      </c>
    </row>
    <row r="38" spans="1:11" ht="13.2" customHeight="1">
      <c r="A38" s="24" t="s">
        <v>1362</v>
      </c>
      <c r="B38" s="27" t="str">
        <f>IF(OR(B27=0,AND(B23=0,B24=0,B25=0,B26=0,B27=0)),"",-B22/(B23+B24+B25+B26+B27))</f>
        <v/>
      </c>
      <c r="C38" s="27" t="str">
        <f t="shared" ref="C38:K38" si="13">IF(OR(C27=0,AND(C23=0,C24=0,C25=0,C26=0,C27=0)),"",-C22/(C23+C24+C25+C26+C27))</f>
        <v/>
      </c>
      <c r="D38" s="27" t="str">
        <f t="shared" si="13"/>
        <v/>
      </c>
      <c r="E38" s="27" t="str">
        <f t="shared" si="13"/>
        <v/>
      </c>
      <c r="F38" s="27" t="str">
        <f t="shared" si="13"/>
        <v/>
      </c>
      <c r="G38" s="27" t="str">
        <f t="shared" si="13"/>
        <v/>
      </c>
      <c r="H38" s="27" t="str">
        <f t="shared" si="13"/>
        <v/>
      </c>
      <c r="I38" s="27" t="str">
        <f t="shared" si="13"/>
        <v/>
      </c>
      <c r="J38" s="27" t="str">
        <f t="shared" si="13"/>
        <v/>
      </c>
      <c r="K38" s="28" t="str">
        <f t="shared" si="13"/>
        <v/>
      </c>
    </row>
    <row r="39" spans="1:11" ht="13.2" customHeight="1">
      <c r="A39" s="24" t="s">
        <v>1362</v>
      </c>
      <c r="B39" s="27" t="str">
        <f>IF(OR(B28=0,AND(B23=0,B24=0,B25=0,B26=0,B27=0,B28=0)),"",-B22/(B23+B24+B25+B26+B27+B28))</f>
        <v/>
      </c>
      <c r="C39" s="27" t="str">
        <f t="shared" ref="C39:K39" si="14">IF(OR(C28=0,AND(C23=0,C24=0,C25=0,C26=0,C27=0,C28=0)),"",-C22/(C23+C24+C25+C26+C27+C28))</f>
        <v/>
      </c>
      <c r="D39" s="27" t="str">
        <f t="shared" si="14"/>
        <v/>
      </c>
      <c r="E39" s="27" t="str">
        <f t="shared" si="14"/>
        <v/>
      </c>
      <c r="F39" s="27" t="str">
        <f t="shared" si="14"/>
        <v/>
      </c>
      <c r="G39" s="27" t="str">
        <f t="shared" si="14"/>
        <v/>
      </c>
      <c r="H39" s="27" t="str">
        <f t="shared" si="14"/>
        <v/>
      </c>
      <c r="I39" s="27" t="str">
        <f t="shared" si="14"/>
        <v/>
      </c>
      <c r="J39" s="27" t="str">
        <f t="shared" si="14"/>
        <v/>
      </c>
      <c r="K39" s="28" t="str">
        <f t="shared" si="14"/>
        <v/>
      </c>
    </row>
    <row r="40" spans="1:11" ht="13.2" customHeight="1">
      <c r="A40" s="24" t="s">
        <v>1344</v>
      </c>
      <c r="B40" s="379">
        <f>IF(OR(B20="Choose mgt fee",B20="Choose One!"),"",(B14+B15+B16+B17+B18) / -(B19+B20+B21))</f>
        <v>1.2376047453762495</v>
      </c>
      <c r="C40" s="379">
        <f t="shared" ref="C40:K40" si="15">IF(OR(C20="Choose mgt fee",C20="Choose One!"),"",(C14+C15+C16+C17+C18) / -(C19+C20+C21))</f>
        <v>1.2308478641577394</v>
      </c>
      <c r="D40" s="379">
        <f t="shared" si="15"/>
        <v>1.2238992357768528</v>
      </c>
      <c r="E40" s="379">
        <f t="shared" si="15"/>
        <v>1.216768722265229</v>
      </c>
      <c r="F40" s="379">
        <f t="shared" si="15"/>
        <v>1.2107258275937773</v>
      </c>
      <c r="G40" s="379">
        <f t="shared" si="15"/>
        <v>1.2044471276481765</v>
      </c>
      <c r="H40" s="379">
        <f t="shared" si="15"/>
        <v>1.1979511044588618</v>
      </c>
      <c r="I40" s="379">
        <f t="shared" si="15"/>
        <v>1.1924024596590714</v>
      </c>
      <c r="J40" s="379">
        <f t="shared" si="15"/>
        <v>1.1865930219604359</v>
      </c>
      <c r="K40" s="380">
        <f t="shared" si="15"/>
        <v>1.1816288431924182</v>
      </c>
    </row>
    <row r="41" spans="1:11" ht="13.2" customHeight="1">
      <c r="A41" s="24" t="str">
        <f>IF('Part III A-Sources of Funds'!$E$32 = "Neither", "", "Mortgage A Balance")</f>
        <v/>
      </c>
      <c r="B41" s="826">
        <f>IF('Part III A-Sources of Funds'!$H$32="","",-FV('Part III A-Sources of Funds'!$J$32/12,12,B23/12,'Part III A-Sources of Funds'!H32))</f>
        <v>0</v>
      </c>
      <c r="C41" s="826">
        <f>IF('Part III A-Sources of Funds'!$H$32="","",-FV('Part III A-Sources of Funds'!$J$32/12,12,C23/12,B41))</f>
        <v>0</v>
      </c>
      <c r="D41" s="826">
        <f>IF('Part III A-Sources of Funds'!$H$32="","",-FV('Part III A-Sources of Funds'!$J$32/12,12,D23/12,C41))</f>
        <v>0</v>
      </c>
      <c r="E41" s="826">
        <f>IF('Part III A-Sources of Funds'!$H$32="","",-FV('Part III A-Sources of Funds'!$J$32/12,12,E23/12,D41))</f>
        <v>0</v>
      </c>
      <c r="F41" s="826">
        <f>IF('Part III A-Sources of Funds'!$H$32="","",-FV('Part III A-Sources of Funds'!$J$32/12,12,F23/12,E41))</f>
        <v>0</v>
      </c>
      <c r="G41" s="826">
        <f>IF('Part III A-Sources of Funds'!$H$32="","",-FV('Part III A-Sources of Funds'!$J$32/12,12,G23/12,F41))</f>
        <v>0</v>
      </c>
      <c r="H41" s="826">
        <f>IF('Part III A-Sources of Funds'!$H$32="","",-FV('Part III A-Sources of Funds'!$J$32/12,12,H23/12,G41))</f>
        <v>0</v>
      </c>
      <c r="I41" s="826">
        <f>IF('Part III A-Sources of Funds'!$H$32="","",-FV('Part III A-Sources of Funds'!$J$32/12,12,I23/12,H41))</f>
        <v>0</v>
      </c>
      <c r="J41" s="826">
        <f>IF('Part III A-Sources of Funds'!$H$32="","",-FV('Part III A-Sources of Funds'!$J$32/12,12,J23/12,I41))</f>
        <v>0</v>
      </c>
      <c r="K41" s="826">
        <f>IF('Part III A-Sources of Funds'!$H$32="","",-FV('Part III A-Sources of Funds'!$J$32/12,12,K23/12,J41))</f>
        <v>0</v>
      </c>
    </row>
    <row r="42" spans="1:11" ht="13.2" customHeight="1">
      <c r="A42" s="24" t="str">
        <f>IF('Part III A-Sources of Funds'!$E$32 = "Neither", "Mortgage A Balance", "Mortgage B Balance")</f>
        <v>Mortgage A Balance</v>
      </c>
      <c r="B42" s="823">
        <f>IF('Part III A-Sources of Funds'!$H$33="","",-FV('Part III A-Sources of Funds'!$J$33/12,12,B25/12,'Part III A-Sources of Funds'!H33))</f>
        <v>1181275.3861367132</v>
      </c>
      <c r="C42" s="823">
        <f>IF('Part III A-Sources of Funds'!$H$33="","",-FV('Part III A-Sources of Funds'!$J$33/12,12,C25/12,B42))</f>
        <v>1159373.939536663</v>
      </c>
      <c r="D42" s="823">
        <f>IF('Part III A-Sources of Funds'!$H$33="","",-FV('Part III A-Sources of Funds'!$J$33/12,12,D25/12,C42))</f>
        <v>1137252.4718606961</v>
      </c>
      <c r="E42" s="823">
        <f>IF('Part III A-Sources of Funds'!$H$33="","",-FV('Part III A-Sources of Funds'!$J$33/12,12,E25/12,D42))</f>
        <v>1114908.7727856894</v>
      </c>
      <c r="F42" s="823">
        <f>IF('Part III A-Sources of Funds'!$H$33="","",-FV('Part III A-Sources of Funds'!$J$33/12,12,F25/12,E42))</f>
        <v>1092340.6097837002</v>
      </c>
      <c r="G42" s="823">
        <f>IF('Part III A-Sources of Funds'!$H$33="","",-FV('Part III A-Sources of Funds'!$J$33/12,12,G25/12,F42))</f>
        <v>1069545.7278988976</v>
      </c>
      <c r="H42" s="823">
        <f>IF('Part III A-Sources of Funds'!$H$33="","",-FV('Part III A-Sources of Funds'!$J$33/12,12,H25/12,G42))</f>
        <v>1046521.8495222523</v>
      </c>
      <c r="I42" s="823">
        <f>IF('Part III A-Sources of Funds'!$H$33="","",-FV('Part III A-Sources of Funds'!$J$33/12,12,I25/12,H42))</f>
        <v>1023266.6741639641</v>
      </c>
      <c r="J42" s="823">
        <f>IF('Part III A-Sources of Funds'!$H$33="","",-FV('Part III A-Sources of Funds'!$J$33/12,12,J25/12,I42))</f>
        <v>999777.87822360196</v>
      </c>
      <c r="K42" s="823">
        <f>IF('Part III A-Sources of Funds'!$H$33="","",-FV('Part III A-Sources of Funds'!$J$33/12,12,K25/12,J42))</f>
        <v>976053.11475793598</v>
      </c>
    </row>
    <row r="43" spans="1:11" ht="13.2" customHeight="1">
      <c r="A43" s="24" t="str">
        <f>IF('Part III A-Sources of Funds'!$E$32 = "Neither", "Mortgage B Balance", "Mortgage C Balance")</f>
        <v>Mortgage B Balance</v>
      </c>
      <c r="B43" s="823" t="str">
        <f>IF('Part III A-Sources of Funds'!$H$34="","",-FV('Part III A-Sources of Funds'!$J$34/12,12,B26/12,'Part III A-Sources of Funds'!H34))</f>
        <v/>
      </c>
      <c r="C43" s="823" t="str">
        <f>IF('Part III A-Sources of Funds'!$H$34="","",-FV('Part III A-Sources of Funds'!$J$34/12,12,C26/12,B43))</f>
        <v/>
      </c>
      <c r="D43" s="823" t="str">
        <f>IF('Part III A-Sources of Funds'!$H$34="","",-FV('Part III A-Sources of Funds'!$J$34/12,12,D26/12,C43))</f>
        <v/>
      </c>
      <c r="E43" s="823" t="str">
        <f>IF('Part III A-Sources of Funds'!$H$34="","",-FV('Part III A-Sources of Funds'!$J$34/12,12,E26/12,D43))</f>
        <v/>
      </c>
      <c r="F43" s="823" t="str">
        <f>IF('Part III A-Sources of Funds'!$H$34="","",-FV('Part III A-Sources of Funds'!$J$34/12,12,F26/12,E43))</f>
        <v/>
      </c>
      <c r="G43" s="823" t="str">
        <f>IF('Part III A-Sources of Funds'!$H$34="","",-FV('Part III A-Sources of Funds'!$J$34/12,12,G26/12,F43))</f>
        <v/>
      </c>
      <c r="H43" s="823" t="str">
        <f>IF('Part III A-Sources of Funds'!$H$34="","",-FV('Part III A-Sources of Funds'!$J$34/12,12,H26/12,G43))</f>
        <v/>
      </c>
      <c r="I43" s="823" t="str">
        <f>IF('Part III A-Sources of Funds'!$H$34="","",-FV('Part III A-Sources of Funds'!$J$34/12,12,I26/12,H43))</f>
        <v/>
      </c>
      <c r="J43" s="823" t="str">
        <f>IF('Part III A-Sources of Funds'!$H$34="","",-FV('Part III A-Sources of Funds'!$J$34/12,12,J26/12,I43))</f>
        <v/>
      </c>
      <c r="K43" s="823" t="str">
        <f>IF('Part III A-Sources of Funds'!$H$34="","",-FV('Part III A-Sources of Funds'!$J$34/12,12,K26/12,J43))</f>
        <v/>
      </c>
    </row>
    <row r="44" spans="1:11" ht="13.2" customHeight="1">
      <c r="A44" s="24" t="s">
        <v>1363</v>
      </c>
      <c r="B44" s="823" t="str">
        <f>IF('Part III A-Sources of Funds'!$H$35="","",-FV('Part III A-Sources of Funds'!$J$35/12,12,B27/12,'Part III A-Sources of Funds'!H35))</f>
        <v/>
      </c>
      <c r="C44" s="823" t="str">
        <f>IF('Part III A-Sources of Funds'!$H$35="","",-FV('Part III A-Sources of Funds'!$J$35/12,12,C27/12,B44))</f>
        <v/>
      </c>
      <c r="D44" s="823" t="str">
        <f>IF('Part III A-Sources of Funds'!$H$35="","",-FV('Part III A-Sources of Funds'!$J$35/12,12,D27/12,C44))</f>
        <v/>
      </c>
      <c r="E44" s="823" t="str">
        <f>IF('Part III A-Sources of Funds'!$H$35="","",-FV('Part III A-Sources of Funds'!$J$35/12,12,E27/12,D44))</f>
        <v/>
      </c>
      <c r="F44" s="823" t="str">
        <f>IF('Part III A-Sources of Funds'!$H$35="","",-FV('Part III A-Sources of Funds'!$J$35/12,12,F27/12,E44))</f>
        <v/>
      </c>
      <c r="G44" s="823" t="str">
        <f>IF('Part III A-Sources of Funds'!$H$35="","",-FV('Part III A-Sources of Funds'!$J$35/12,12,G27/12,F44))</f>
        <v/>
      </c>
      <c r="H44" s="823" t="str">
        <f>IF('Part III A-Sources of Funds'!$H$35="","",-FV('Part III A-Sources of Funds'!$J$35/12,12,H27/12,G44))</f>
        <v/>
      </c>
      <c r="I44" s="823" t="str">
        <f>IF('Part III A-Sources of Funds'!$H$35="","",-FV('Part III A-Sources of Funds'!$J$35/12,12,I27/12,H44))</f>
        <v/>
      </c>
      <c r="J44" s="823" t="str">
        <f>IF('Part III A-Sources of Funds'!$H$35="","",-FV('Part III A-Sources of Funds'!$J$35/12,12,J27/12,I44))</f>
        <v/>
      </c>
      <c r="K44" s="823" t="str">
        <f>IF('Part III A-Sources of Funds'!$H$35="","",-FV('Part III A-Sources of Funds'!$J$35/12,12,K27/12,J44))</f>
        <v/>
      </c>
    </row>
    <row r="45" spans="1:11" ht="13.2" customHeight="1">
      <c r="A45" s="24" t="s">
        <v>1363</v>
      </c>
      <c r="B45" s="823" t="str">
        <f>IF('Part III A-Sources of Funds'!$H$36="","",-FV('Part III A-Sources of Funds'!$J$36/12,12,B28/12,'Part III A-Sources of Funds'!$H$36))</f>
        <v/>
      </c>
      <c r="C45" s="823" t="str">
        <f>IF('Part III A-Sources of Funds'!$H$36="","",-FV('Part III A-Sources of Funds'!$J$36/12,12,C28/12,B45))</f>
        <v/>
      </c>
      <c r="D45" s="823" t="str">
        <f>IF('Part III A-Sources of Funds'!$H$36="","",-FV('Part III A-Sources of Funds'!$J$36/12,12,D28/12,C45))</f>
        <v/>
      </c>
      <c r="E45" s="823" t="str">
        <f>IF('Part III A-Sources of Funds'!$H$36="","",-FV('Part III A-Sources of Funds'!$J$36/12,12,E28/12,D45))</f>
        <v/>
      </c>
      <c r="F45" s="823" t="str">
        <f>IF('Part III A-Sources of Funds'!$H$36="","",-FV('Part III A-Sources of Funds'!$J$36/12,12,F28/12,E45))</f>
        <v/>
      </c>
      <c r="G45" s="823" t="str">
        <f>IF('Part III A-Sources of Funds'!$H$36="","",-FV('Part III A-Sources of Funds'!$J$36/12,12,G28/12,F45))</f>
        <v/>
      </c>
      <c r="H45" s="823" t="str">
        <f>IF('Part III A-Sources of Funds'!$H$36="","",-FV('Part III A-Sources of Funds'!$J$36/12,12,H28/12,G45))</f>
        <v/>
      </c>
      <c r="I45" s="823" t="str">
        <f>IF('Part III A-Sources of Funds'!$H$36="","",-FV('Part III A-Sources of Funds'!$J$36/12,12,I28/12,H45))</f>
        <v/>
      </c>
      <c r="J45" s="823" t="str">
        <f>IF('Part III A-Sources of Funds'!$H$36="","",-FV('Part III A-Sources of Funds'!$J$36/12,12,J28/12,I45))</f>
        <v/>
      </c>
      <c r="K45" s="823" t="str">
        <f>IF('Part III A-Sources of Funds'!$H$36="","",-FV('Part III A-Sources of Funds'!$J$36/12,12,K28/12,J45))</f>
        <v/>
      </c>
    </row>
    <row r="46" spans="1:11" ht="13.2" customHeight="1">
      <c r="A46" s="29" t="s">
        <v>1898</v>
      </c>
      <c r="B46" s="825">
        <f>IF('Part III A-Sources of Funds'!$H$37="","",-FV('Part III A-Sources of Funds'!$J$37/12,12,B31/12,'Part III A-Sources of Funds'!H37))</f>
        <v>0</v>
      </c>
      <c r="C46" s="825">
        <f>IF('Part III A-Sources of Funds'!$H$37="","",-FV('Part III A-Sources of Funds'!$J$37/12,12,C31/12,B46))</f>
        <v>0</v>
      </c>
      <c r="D46" s="825">
        <f>IF('Part III A-Sources of Funds'!$H$37="","",-FV('Part III A-Sources of Funds'!$J$37/12,12,D31/12,C46))</f>
        <v>0</v>
      </c>
      <c r="E46" s="825">
        <f>IF('Part III A-Sources of Funds'!$H$37="","",-FV('Part III A-Sources of Funds'!$J$37/12,12,E31/12,D46))</f>
        <v>0</v>
      </c>
      <c r="F46" s="825">
        <f>IF('Part III A-Sources of Funds'!$H$37="","",-FV('Part III A-Sources of Funds'!$J$37/12,12,F31/12,E46))</f>
        <v>0</v>
      </c>
      <c r="G46" s="825">
        <f>IF('Part III A-Sources of Funds'!$H$37="","",-FV('Part III A-Sources of Funds'!$J$37/12,12,G31/12,F46))</f>
        <v>0</v>
      </c>
      <c r="H46" s="825">
        <f>IF('Part III A-Sources of Funds'!$H$37="","",-FV('Part III A-Sources of Funds'!$J$37/12,12,H31/12,G46))</f>
        <v>0</v>
      </c>
      <c r="I46" s="825">
        <f>IF('Part III A-Sources of Funds'!$H$37="","",-FV('Part III A-Sources of Funds'!$J$37/12,12,I31/12,H46))</f>
        <v>0</v>
      </c>
      <c r="J46" s="825">
        <f>IF('Part III A-Sources of Funds'!$H$37="","",-FV('Part III A-Sources of Funds'!$J$37/12,12,J31/12,I46))</f>
        <v>0</v>
      </c>
      <c r="K46" s="825">
        <f>IF('Part III A-Sources of Funds'!$H$37="","",-FV('Part III A-Sources of Funds'!$J$37/12,12,K31/12,J46))</f>
        <v>0</v>
      </c>
    </row>
    <row r="47" spans="1:11" ht="4.2" customHeight="1">
      <c r="B47" s="20"/>
      <c r="C47" s="20"/>
      <c r="D47" s="20"/>
      <c r="E47" s="20"/>
      <c r="F47" s="20"/>
      <c r="G47" s="20"/>
      <c r="H47" s="20"/>
      <c r="I47" s="20"/>
      <c r="J47" s="20"/>
      <c r="K47" s="20"/>
    </row>
    <row r="48" spans="1:11" ht="14.4" customHeight="1">
      <c r="A48" s="16" t="s">
        <v>3752</v>
      </c>
      <c r="B48" s="18">
        <f>K13+1</f>
        <v>11</v>
      </c>
      <c r="C48" s="18">
        <f t="shared" ref="C48:K48" si="16">B48+1</f>
        <v>12</v>
      </c>
      <c r="D48" s="18">
        <f t="shared" si="16"/>
        <v>13</v>
      </c>
      <c r="E48" s="18">
        <f t="shared" si="16"/>
        <v>14</v>
      </c>
      <c r="F48" s="18">
        <f t="shared" si="16"/>
        <v>15</v>
      </c>
      <c r="G48" s="18">
        <f t="shared" si="16"/>
        <v>16</v>
      </c>
      <c r="H48" s="18">
        <f t="shared" si="16"/>
        <v>17</v>
      </c>
      <c r="I48" s="18">
        <f t="shared" si="16"/>
        <v>18</v>
      </c>
      <c r="J48" s="18">
        <f t="shared" si="16"/>
        <v>19</v>
      </c>
      <c r="K48" s="18">
        <f t="shared" si="16"/>
        <v>20</v>
      </c>
    </row>
    <row r="49" spans="1:11" ht="13.2" customHeight="1">
      <c r="A49" s="21" t="s">
        <v>3641</v>
      </c>
      <c r="B49" s="22">
        <f t="shared" ref="B49:K49" si="17">$B$14*(1+$B$5)^(B48-1)</f>
        <v>279217.9858663191</v>
      </c>
      <c r="C49" s="22">
        <f t="shared" si="17"/>
        <v>284802.34558364539</v>
      </c>
      <c r="D49" s="22">
        <f t="shared" si="17"/>
        <v>290498.39249531837</v>
      </c>
      <c r="E49" s="22">
        <f t="shared" si="17"/>
        <v>296308.36034522473</v>
      </c>
      <c r="F49" s="22">
        <f t="shared" si="17"/>
        <v>302234.52755212924</v>
      </c>
      <c r="G49" s="22">
        <f t="shared" si="17"/>
        <v>308279.21810317173</v>
      </c>
      <c r="H49" s="22">
        <f t="shared" si="17"/>
        <v>314444.80246523523</v>
      </c>
      <c r="I49" s="22">
        <f t="shared" si="17"/>
        <v>320733.69851453998</v>
      </c>
      <c r="J49" s="22">
        <f t="shared" si="17"/>
        <v>327148.37248483073</v>
      </c>
      <c r="K49" s="23">
        <f t="shared" si="17"/>
        <v>333691.33993452735</v>
      </c>
    </row>
    <row r="50" spans="1:11" ht="13.2" customHeight="1">
      <c r="A50" s="24" t="s">
        <v>1631</v>
      </c>
      <c r="B50" s="25">
        <f t="shared" ref="B50:K50" si="18">$B$15*(1+$B$5)^(B48-1)</f>
        <v>5584.3597173263815</v>
      </c>
      <c r="C50" s="25">
        <f t="shared" si="18"/>
        <v>5696.0469116729082</v>
      </c>
      <c r="D50" s="25">
        <f t="shared" si="18"/>
        <v>5809.9678499063675</v>
      </c>
      <c r="E50" s="25">
        <f t="shared" si="18"/>
        <v>5926.1672069044944</v>
      </c>
      <c r="F50" s="25">
        <f t="shared" si="18"/>
        <v>6044.690551042585</v>
      </c>
      <c r="G50" s="25">
        <f t="shared" si="18"/>
        <v>6165.584362063435</v>
      </c>
      <c r="H50" s="25">
        <f t="shared" si="18"/>
        <v>6288.8960493047043</v>
      </c>
      <c r="I50" s="25">
        <f t="shared" si="18"/>
        <v>6414.6739702907989</v>
      </c>
      <c r="J50" s="25">
        <f t="shared" si="18"/>
        <v>6542.9674496966145</v>
      </c>
      <c r="K50" s="26">
        <f t="shared" si="18"/>
        <v>6673.8267986905466</v>
      </c>
    </row>
    <row r="51" spans="1:11" ht="13.2" customHeight="1">
      <c r="A51" s="24" t="s">
        <v>3642</v>
      </c>
      <c r="B51" s="25">
        <f t="shared" ref="B51:K51" si="19">-(B49+B50)*$B$8</f>
        <v>-19936.164190855183</v>
      </c>
      <c r="C51" s="25">
        <f t="shared" si="19"/>
        <v>-20334.887474672283</v>
      </c>
      <c r="D51" s="25">
        <f t="shared" si="19"/>
        <v>-20741.585224165734</v>
      </c>
      <c r="E51" s="25">
        <f t="shared" si="19"/>
        <v>-21156.416928649047</v>
      </c>
      <c r="F51" s="25">
        <f t="shared" si="19"/>
        <v>-21579.545267222027</v>
      </c>
      <c r="G51" s="25">
        <f t="shared" si="19"/>
        <v>-22011.136172566465</v>
      </c>
      <c r="H51" s="25">
        <f t="shared" si="19"/>
        <v>-22451.358896017799</v>
      </c>
      <c r="I51" s="25">
        <f t="shared" si="19"/>
        <v>-22900.386073938156</v>
      </c>
      <c r="J51" s="25">
        <f t="shared" si="19"/>
        <v>-23358.393795416916</v>
      </c>
      <c r="K51" s="26">
        <f t="shared" si="19"/>
        <v>-23825.561671325253</v>
      </c>
    </row>
    <row r="52" spans="1:11" ht="13.2"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62</v>
      </c>
      <c r="B53" s="25">
        <f>'Part VI-Revenues &amp; Expenses'!G126</f>
        <v>15250</v>
      </c>
      <c r="C53" s="25">
        <f>'Part VI-Revenues &amp; Expenses'!H126</f>
        <v>17000</v>
      </c>
      <c r="D53" s="25">
        <f>'Part VI-Revenues &amp; Expenses'!I126</f>
        <v>19000</v>
      </c>
      <c r="E53" s="25">
        <f>'Part VI-Revenues &amp; Expenses'!J126</f>
        <v>21250</v>
      </c>
      <c r="F53" s="25">
        <f>'Part VI-Revenues &amp; Expenses'!K126</f>
        <v>23250</v>
      </c>
      <c r="G53" s="25">
        <f>'Part VI-Revenues &amp; Expenses'!L126</f>
        <v>25750</v>
      </c>
      <c r="H53" s="25">
        <f>'Part VI-Revenues &amp; Expenses'!M126</f>
        <v>28000</v>
      </c>
      <c r="I53" s="25">
        <f>'Part VI-Revenues &amp; Expenses'!N126</f>
        <v>30500</v>
      </c>
      <c r="J53" s="25">
        <f>'Part VI-Revenues &amp; Expenses'!O126</f>
        <v>33250</v>
      </c>
      <c r="K53" s="26">
        <f>'Part VI-Revenues &amp; Expenses'!P126</f>
        <v>36250</v>
      </c>
    </row>
    <row r="54" spans="1:11" ht="13.2" customHeight="1">
      <c r="A54" s="24" t="s">
        <v>947</v>
      </c>
      <c r="B54" s="25">
        <f t="shared" ref="B54:K54" si="20">$B$19*(1+$B$6)^(B48-1)</f>
        <v>-184709.21109343544</v>
      </c>
      <c r="C54" s="25">
        <f t="shared" si="20"/>
        <v>-190250.48742623851</v>
      </c>
      <c r="D54" s="25">
        <f t="shared" si="20"/>
        <v>-195958.00204902564</v>
      </c>
      <c r="E54" s="25">
        <f t="shared" si="20"/>
        <v>-201836.74211049639</v>
      </c>
      <c r="F54" s="25">
        <f t="shared" si="20"/>
        <v>-207891.8443738113</v>
      </c>
      <c r="G54" s="25">
        <f t="shared" si="20"/>
        <v>-214128.59970502567</v>
      </c>
      <c r="H54" s="25">
        <f t="shared" si="20"/>
        <v>-220552.4576961764</v>
      </c>
      <c r="I54" s="25">
        <f t="shared" si="20"/>
        <v>-227169.03142706168</v>
      </c>
      <c r="J54" s="25">
        <f t="shared" si="20"/>
        <v>-233984.10236987355</v>
      </c>
      <c r="K54" s="26">
        <f t="shared" si="20"/>
        <v>-241003.62544096974</v>
      </c>
    </row>
    <row r="55" spans="1:11" ht="13.2" customHeight="1">
      <c r="A55" s="24" t="s">
        <v>1745</v>
      </c>
      <c r="B55" s="25">
        <f>IF(AND('Part VII-Pro Forma'!$G$8="Yes",'Part VII-Pro Forma'!$G$9="Yes"),"Choose One!",IF('Part VII-Pro Forma'!$G$8="Yes",ROUND((-$K$8*(1+'Part VII-Pro Forma'!$B$6)^('Part VII-Pro Forma'!B48-1)),),IF('Part VII-Pro Forma'!$G$9="Yes",ROUND((-(SUM(B49:B52)*'Part VII-Pro Forma'!$K$9)),),"Choose mgt fee")))</f>
        <v>-30362</v>
      </c>
      <c r="C55" s="25">
        <f>IF(AND('Part VII-Pro Forma'!$G$8="Yes",'Part VII-Pro Forma'!$G$9="Yes"),"Choose One!",IF('Part VII-Pro Forma'!$G$8="Yes",ROUND((-$K$8*(1+'Part VII-Pro Forma'!$B$6)^('Part VII-Pro Forma'!C48-1)),),IF('Part VII-Pro Forma'!$G$9="Yes",ROUND((-(SUM(C49:C52)*'Part VII-Pro Forma'!$K$9)),),"Choose mgt fee")))</f>
        <v>-31273</v>
      </c>
      <c r="D55" s="25">
        <f>IF(AND('Part VII-Pro Forma'!$G$8="Yes",'Part VII-Pro Forma'!$G$9="Yes"),"Choose One!",IF('Part VII-Pro Forma'!$G$8="Yes",ROUND((-$K$8*(1+'Part VII-Pro Forma'!$B$6)^('Part VII-Pro Forma'!D48-1)),),IF('Part VII-Pro Forma'!$G$9="Yes",ROUND((-(SUM(D49:D52)*'Part VII-Pro Forma'!$K$9)),),"Choose mgt fee")))</f>
        <v>-32211</v>
      </c>
      <c r="E55" s="25">
        <f>IF(AND('Part VII-Pro Forma'!$G$8="Yes",'Part VII-Pro Forma'!$G$9="Yes"),"Choose One!",IF('Part VII-Pro Forma'!$G$8="Yes",ROUND((-$K$8*(1+'Part VII-Pro Forma'!$B$6)^('Part VII-Pro Forma'!E48-1)),),IF('Part VII-Pro Forma'!$G$9="Yes",ROUND((-(SUM(E49:E52)*'Part VII-Pro Forma'!$K$9)),),"Choose mgt fee")))</f>
        <v>-33177</v>
      </c>
      <c r="F55" s="25">
        <f>IF(AND('Part VII-Pro Forma'!$G$8="Yes",'Part VII-Pro Forma'!$G$9="Yes"),"Choose One!",IF('Part VII-Pro Forma'!$G$8="Yes",ROUND((-$K$8*(1+'Part VII-Pro Forma'!$B$6)^('Part VII-Pro Forma'!F48-1)),),IF('Part VII-Pro Forma'!$G$9="Yes",ROUND((-(SUM(F49:F52)*'Part VII-Pro Forma'!$K$9)),),"Choose mgt fee")))</f>
        <v>-34172</v>
      </c>
      <c r="G55" s="25">
        <f>IF(AND('Part VII-Pro Forma'!$G$8="Yes",'Part VII-Pro Forma'!$G$9="Yes"),"Choose One!",IF('Part VII-Pro Forma'!$G$8="Yes",ROUND((-$K$8*(1+'Part VII-Pro Forma'!$B$6)^('Part VII-Pro Forma'!G48-1)),),IF('Part VII-Pro Forma'!$G$9="Yes",ROUND((-(SUM(G49:G52)*'Part VII-Pro Forma'!$K$9)),),"Choose mgt fee")))</f>
        <v>-35198</v>
      </c>
      <c r="H55" s="25">
        <f>IF(AND('Part VII-Pro Forma'!$G$8="Yes",'Part VII-Pro Forma'!$G$9="Yes"),"Choose One!",IF('Part VII-Pro Forma'!$G$8="Yes",ROUND((-$K$8*(1+'Part VII-Pro Forma'!$B$6)^('Part VII-Pro Forma'!H48-1)),),IF('Part VII-Pro Forma'!$G$9="Yes",ROUND((-(SUM(H49:H52)*'Part VII-Pro Forma'!$K$9)),),"Choose mgt fee")))</f>
        <v>-36254</v>
      </c>
      <c r="I55" s="25">
        <f>IF(AND('Part VII-Pro Forma'!$G$8="Yes",'Part VII-Pro Forma'!$G$9="Yes"),"Choose One!",IF('Part VII-Pro Forma'!$G$8="Yes",ROUND((-$K$8*(1+'Part VII-Pro Forma'!$B$6)^('Part VII-Pro Forma'!I48-1)),),IF('Part VII-Pro Forma'!$G$9="Yes",ROUND((-(SUM(I49:I52)*'Part VII-Pro Forma'!$K$9)),),"Choose mgt fee")))</f>
        <v>-37341</v>
      </c>
      <c r="J55" s="25">
        <f>IF(AND('Part VII-Pro Forma'!$G$8="Yes",'Part VII-Pro Forma'!$G$9="Yes"),"Choose One!",IF('Part VII-Pro Forma'!$G$8="Yes",ROUND((-$K$8*(1+'Part VII-Pro Forma'!$B$6)^('Part VII-Pro Forma'!J48-1)),),IF('Part VII-Pro Forma'!$G$9="Yes",ROUND((-(SUM(J49:J52)*'Part VII-Pro Forma'!$K$9)),),"Choose mgt fee")))</f>
        <v>-38461</v>
      </c>
      <c r="K55" s="25">
        <f>IF(AND('Part VII-Pro Forma'!$G$8="Yes",'Part VII-Pro Forma'!$G$9="Yes"),"Choose One!",IF('Part VII-Pro Forma'!$G$8="Yes",ROUND((-$K$8*(1+'Part VII-Pro Forma'!$B$6)^('Part VII-Pro Forma'!K48-1)),),IF('Part VII-Pro Forma'!$G$9="Yes",ROUND((-(SUM(K49:K52)*'Part VII-Pro Forma'!$K$9)),),"Choose mgt fee")))</f>
        <v>-39615</v>
      </c>
    </row>
    <row r="56" spans="1:11" ht="13.2" customHeight="1">
      <c r="A56" s="24" t="s">
        <v>1861</v>
      </c>
      <c r="B56" s="25">
        <f t="shared" ref="B56:K56" si="21">$B$21*(1+$B$7)^(B48-1)</f>
        <v>-23048.165905751688</v>
      </c>
      <c r="C56" s="25">
        <f t="shared" si="21"/>
        <v>-23739.61088292424</v>
      </c>
      <c r="D56" s="25">
        <f t="shared" si="21"/>
        <v>-24451.799209411962</v>
      </c>
      <c r="E56" s="25">
        <f t="shared" si="21"/>
        <v>-25185.353185694323</v>
      </c>
      <c r="F56" s="25">
        <f t="shared" si="21"/>
        <v>-25940.913781265153</v>
      </c>
      <c r="G56" s="25">
        <f t="shared" si="21"/>
        <v>-26719.141194703108</v>
      </c>
      <c r="H56" s="25">
        <f t="shared" si="21"/>
        <v>-27520.715430544198</v>
      </c>
      <c r="I56" s="25">
        <f t="shared" si="21"/>
        <v>-28346.336893460524</v>
      </c>
      <c r="J56" s="25">
        <f t="shared" si="21"/>
        <v>-29196.727000264342</v>
      </c>
      <c r="K56" s="26">
        <f t="shared" si="21"/>
        <v>-30072.628810272268</v>
      </c>
    </row>
    <row r="57" spans="1:11" ht="13.2" customHeight="1">
      <c r="A57" s="24" t="s">
        <v>1862</v>
      </c>
      <c r="B57" s="25">
        <f t="shared" ref="B57:K57" si="22">SUM(B49:B56)</f>
        <v>41996.804393603154</v>
      </c>
      <c r="C57" s="25">
        <f t="shared" si="22"/>
        <v>41900.406711483272</v>
      </c>
      <c r="D57" s="25">
        <f t="shared" si="22"/>
        <v>41945.973862621373</v>
      </c>
      <c r="E57" s="25">
        <f t="shared" si="22"/>
        <v>42129.01532728946</v>
      </c>
      <c r="F57" s="25">
        <f t="shared" si="22"/>
        <v>41944.914680873298</v>
      </c>
      <c r="G57" s="25">
        <f t="shared" si="22"/>
        <v>42137.925392939949</v>
      </c>
      <c r="H57" s="25">
        <f t="shared" si="22"/>
        <v>41955.166491801559</v>
      </c>
      <c r="I57" s="25">
        <f t="shared" si="22"/>
        <v>41891.618090370423</v>
      </c>
      <c r="J57" s="25">
        <f t="shared" si="22"/>
        <v>41941.116768972533</v>
      </c>
      <c r="K57" s="26">
        <f t="shared" si="22"/>
        <v>42098.350810650642</v>
      </c>
    </row>
    <row r="58" spans="1:11" ht="13.2" customHeight="1">
      <c r="A58" s="24" t="str">
        <f t="shared" ref="A58:A63" si="23">$A23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3"/>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3"/>
        <v>D/S Mortgage A</v>
      </c>
      <c r="B60" s="823">
        <f>IF('Part III A-Sources of Funds'!$M$33="", 0,-'Part III A-Sources of Funds'!$M$33)</f>
        <v>-33614</v>
      </c>
      <c r="C60" s="823">
        <f>IF('Part III A-Sources of Funds'!$M$33="", 0,-'Part III A-Sources of Funds'!$M$33)</f>
        <v>-33614</v>
      </c>
      <c r="D60" s="823">
        <f>IF('Part III A-Sources of Funds'!$M$33="", 0,-'Part III A-Sources of Funds'!$M$33)</f>
        <v>-33614</v>
      </c>
      <c r="E60" s="823">
        <f>IF('Part III A-Sources of Funds'!$M$33="", 0,-'Part III A-Sources of Funds'!$M$33)</f>
        <v>-33614</v>
      </c>
      <c r="F60" s="823">
        <f>IF('Part III A-Sources of Funds'!$M$33="", 0,-'Part III A-Sources of Funds'!$M$33)</f>
        <v>-33614</v>
      </c>
      <c r="G60" s="823">
        <f>IF('Part III A-Sources of Funds'!$M$33="", 0,-'Part III A-Sources of Funds'!$M$33)</f>
        <v>-33614</v>
      </c>
      <c r="H60" s="823">
        <f>IF('Part III A-Sources of Funds'!$M$33="", 0,-'Part III A-Sources of Funds'!$M$33)</f>
        <v>-33614</v>
      </c>
      <c r="I60" s="823">
        <f>IF('Part III A-Sources of Funds'!$M$33="", 0,-'Part III A-Sources of Funds'!$M$33)</f>
        <v>-33614</v>
      </c>
      <c r="J60" s="823">
        <f>IF('Part III A-Sources of Funds'!$M$33="", 0,-'Part III A-Sources of Funds'!$M$33)</f>
        <v>-33614</v>
      </c>
      <c r="K60" s="823">
        <f>IF('Part III A-Sources of Funds'!$M$33="", 0,-'Part III A-Sources of Funds'!$M$33)</f>
        <v>-33614</v>
      </c>
    </row>
    <row r="61" spans="1:11" ht="13.2" customHeight="1">
      <c r="A61" s="24" t="str">
        <f t="shared" si="23"/>
        <v>D/S Mortgage B</v>
      </c>
      <c r="B61" s="823">
        <f>IF('Part III A-Sources of Funds'!$M$34="", 0,-'Part III A-Sources of Funds'!$M$34)</f>
        <v>0</v>
      </c>
      <c r="C61" s="823">
        <f>IF('Part III A-Sources of Funds'!$M$34="", 0,-'Part III A-Sources of Funds'!$M$34)</f>
        <v>0</v>
      </c>
      <c r="D61" s="823">
        <f>IF('Part III A-Sources of Funds'!$M$34="", 0,-'Part III A-Sources of Funds'!$M$34)</f>
        <v>0</v>
      </c>
      <c r="E61" s="823">
        <f>IF('Part III A-Sources of Funds'!$M$34="", 0,-'Part III A-Sources of Funds'!$M$34)</f>
        <v>0</v>
      </c>
      <c r="F61" s="823">
        <f>IF('Part III A-Sources of Funds'!$M$34="", 0,-'Part III A-Sources of Funds'!$M$34)</f>
        <v>0</v>
      </c>
      <c r="G61" s="823">
        <f>IF('Part III A-Sources of Funds'!$M$34="", 0,-'Part III A-Sources of Funds'!$M$34)</f>
        <v>0</v>
      </c>
      <c r="H61" s="823">
        <f>IF('Part III A-Sources of Funds'!$M$34="", 0,-'Part III A-Sources of Funds'!$M$34)</f>
        <v>0</v>
      </c>
      <c r="I61" s="823">
        <f>IF('Part III A-Sources of Funds'!$M$34="", 0,-'Part III A-Sources of Funds'!$M$34)</f>
        <v>0</v>
      </c>
      <c r="J61" s="823">
        <f>IF('Part III A-Sources of Funds'!$M$34="", 0,-'Part III A-Sources of Funds'!$M$34)</f>
        <v>0</v>
      </c>
      <c r="K61" s="823">
        <f>IF('Part III A-Sources of Funds'!$M$34="", 0,-'Part III A-Sources of Funds'!$M$34)</f>
        <v>0</v>
      </c>
    </row>
    <row r="62" spans="1:11" ht="13.2" customHeight="1">
      <c r="A62" s="24" t="str">
        <f t="shared" si="23"/>
        <v>D/S Other Source</v>
      </c>
      <c r="B62" s="823">
        <f>IF('Part III A-Sources of Funds'!$M$35="", 0,-'Part III A-Sources of Funds'!$M$35)</f>
        <v>0</v>
      </c>
      <c r="C62" s="823">
        <f>IF('Part III A-Sources of Funds'!$M$35="", 0,-'Part III A-Sources of Funds'!$M$35)</f>
        <v>0</v>
      </c>
      <c r="D62" s="823">
        <f>IF('Part III A-Sources of Funds'!$M$35="", 0,-'Part III A-Sources of Funds'!$M$35)</f>
        <v>0</v>
      </c>
      <c r="E62" s="823">
        <f>IF('Part III A-Sources of Funds'!$M$35="", 0,-'Part III A-Sources of Funds'!$M$35)</f>
        <v>0</v>
      </c>
      <c r="F62" s="823">
        <f>IF('Part III A-Sources of Funds'!$M$35="", 0,-'Part III A-Sources of Funds'!$M$35)</f>
        <v>0</v>
      </c>
      <c r="G62" s="823">
        <f>IF('Part III A-Sources of Funds'!$M$35="", 0,-'Part III A-Sources of Funds'!$M$35)</f>
        <v>0</v>
      </c>
      <c r="H62" s="823">
        <f>IF('Part III A-Sources of Funds'!$M$35="", 0,-'Part III A-Sources of Funds'!$M$35)</f>
        <v>0</v>
      </c>
      <c r="I62" s="823">
        <f>IF('Part III A-Sources of Funds'!$M$35="", 0,-'Part III A-Sources of Funds'!$M$35)</f>
        <v>0</v>
      </c>
      <c r="J62" s="823">
        <f>IF('Part III A-Sources of Funds'!$M$35="", 0,-'Part III A-Sources of Funds'!$M$35)</f>
        <v>0</v>
      </c>
      <c r="K62" s="823">
        <f>IF('Part III A-Sources of Funds'!$M$35="", 0,-'Part III A-Sources of Funds'!$M$35)</f>
        <v>0</v>
      </c>
    </row>
    <row r="63" spans="1:11" ht="13.2" customHeight="1">
      <c r="A63" s="24" t="str">
        <f t="shared" si="23"/>
        <v>D/S Grant from fdn / charity</v>
      </c>
      <c r="B63" s="823">
        <f>IF('Part III A-Sources of Funds'!$M$36="", 0,-'Part III A-Sources of Funds'!$M$36)</f>
        <v>0</v>
      </c>
      <c r="C63" s="823">
        <f>IF('Part III A-Sources of Funds'!$M$36="", 0,-'Part III A-Sources of Funds'!$M$36)</f>
        <v>0</v>
      </c>
      <c r="D63" s="823">
        <f>IF('Part III A-Sources of Funds'!$M$36="", 0,-'Part III A-Sources of Funds'!$M$36)</f>
        <v>0</v>
      </c>
      <c r="E63" s="823">
        <f>IF('Part III A-Sources of Funds'!$M$36="", 0,-'Part III A-Sources of Funds'!$M$36)</f>
        <v>0</v>
      </c>
      <c r="F63" s="823">
        <f>IF('Part III A-Sources of Funds'!$M$36="", 0,-'Part III A-Sources of Funds'!$M$36)</f>
        <v>0</v>
      </c>
      <c r="G63" s="823">
        <f>IF('Part III A-Sources of Funds'!$M$36="", 0,-'Part III A-Sources of Funds'!$M$36)</f>
        <v>0</v>
      </c>
      <c r="H63" s="823">
        <f>IF('Part III A-Sources of Funds'!$M$36="", 0,-'Part III A-Sources of Funds'!$M$36)</f>
        <v>0</v>
      </c>
      <c r="I63" s="823">
        <f>IF('Part III A-Sources of Funds'!$M$36="", 0,-'Part III A-Sources of Funds'!$M$36)</f>
        <v>0</v>
      </c>
      <c r="J63" s="823">
        <f>IF('Part III A-Sources of Funds'!$M$36="", 0,-'Part III A-Sources of Funds'!$M$36)</f>
        <v>0</v>
      </c>
      <c r="K63" s="823">
        <f>IF('Part III A-Sources of Funds'!$M$36="", 0,-'Part III A-Sources of Funds'!$M$36)</f>
        <v>0</v>
      </c>
    </row>
    <row r="64" spans="1:11" ht="13.2" customHeight="1">
      <c r="A64" s="24" t="s">
        <v>1335</v>
      </c>
      <c r="B64" s="824"/>
      <c r="C64" s="824"/>
      <c r="D64" s="824"/>
      <c r="E64" s="824"/>
      <c r="F64" s="824"/>
      <c r="G64" s="824"/>
      <c r="H64" s="824"/>
      <c r="I64" s="824"/>
      <c r="J64" s="824"/>
      <c r="K64" s="824"/>
    </row>
    <row r="65" spans="1:11" ht="13.2" customHeight="1">
      <c r="A65" s="24" t="s">
        <v>1806</v>
      </c>
      <c r="B65" s="823">
        <f>+K30</f>
        <v>0</v>
      </c>
      <c r="C65" s="823">
        <f t="shared" ref="C65:F65" si="24">+B65</f>
        <v>0</v>
      </c>
      <c r="D65" s="823">
        <f t="shared" si="24"/>
        <v>0</v>
      </c>
      <c r="E65" s="823">
        <f t="shared" si="24"/>
        <v>0</v>
      </c>
      <c r="F65" s="823">
        <f t="shared" si="24"/>
        <v>0</v>
      </c>
      <c r="G65" s="823"/>
      <c r="H65" s="823"/>
      <c r="I65" s="823"/>
      <c r="J65" s="823"/>
      <c r="K65" s="823"/>
    </row>
    <row r="66" spans="1:11" ht="13.2" customHeight="1">
      <c r="A66" s="24" t="s">
        <v>1863</v>
      </c>
      <c r="B66" s="823"/>
      <c r="C66" s="823"/>
      <c r="D66" s="823"/>
      <c r="E66" s="823"/>
      <c r="F66" s="823"/>
      <c r="G66" s="823"/>
      <c r="H66" s="823"/>
      <c r="I66" s="823"/>
      <c r="J66" s="823"/>
      <c r="K66" s="823"/>
    </row>
    <row r="67" spans="1:11" ht="13.2" customHeight="1">
      <c r="A67" s="24" t="s">
        <v>1807</v>
      </c>
      <c r="B67" s="825">
        <f>+K32</f>
        <v>0</v>
      </c>
      <c r="C67" s="825">
        <f t="shared" ref="C67:F67" si="25">+B67</f>
        <v>0</v>
      </c>
      <c r="D67" s="825">
        <f t="shared" si="25"/>
        <v>0</v>
      </c>
      <c r="E67" s="825">
        <f t="shared" si="25"/>
        <v>0</v>
      </c>
      <c r="F67" s="825">
        <f t="shared" si="25"/>
        <v>0</v>
      </c>
      <c r="G67" s="825"/>
      <c r="H67" s="825"/>
      <c r="I67" s="825"/>
      <c r="J67" s="825"/>
      <c r="K67" s="825"/>
    </row>
    <row r="68" spans="1:11" ht="13.2" customHeight="1">
      <c r="A68" s="24" t="s">
        <v>1808</v>
      </c>
      <c r="B68" s="25">
        <f t="shared" ref="B68:K68" si="26">SUM(B57:B67)</f>
        <v>8382.8043936031536</v>
      </c>
      <c r="C68" s="25">
        <f t="shared" si="26"/>
        <v>8286.4067114832724</v>
      </c>
      <c r="D68" s="25">
        <f t="shared" si="26"/>
        <v>8331.973862621373</v>
      </c>
      <c r="E68" s="25">
        <f t="shared" si="26"/>
        <v>8515.0153272894604</v>
      </c>
      <c r="F68" s="25">
        <f t="shared" si="26"/>
        <v>8330.9146808732985</v>
      </c>
      <c r="G68" s="25">
        <f t="shared" si="26"/>
        <v>8523.9253929399492</v>
      </c>
      <c r="H68" s="25">
        <f t="shared" si="26"/>
        <v>8341.1664918015595</v>
      </c>
      <c r="I68" s="25">
        <f t="shared" si="26"/>
        <v>8277.6180903704226</v>
      </c>
      <c r="J68" s="25">
        <f t="shared" si="26"/>
        <v>8327.1167689725335</v>
      </c>
      <c r="K68" s="23">
        <f t="shared" si="26"/>
        <v>8484.3508106506415</v>
      </c>
    </row>
    <row r="69" spans="1:11" ht="13.2" customHeight="1">
      <c r="A69" s="24" t="str">
        <f t="shared" ref="A69:A74" si="27">$A34</f>
        <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2" customHeight="1">
      <c r="A70" s="24" t="str">
        <f t="shared" si="27"/>
        <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2" customHeight="1">
      <c r="A71" s="24" t="str">
        <f t="shared" si="27"/>
        <v>DCR First Mortgage</v>
      </c>
      <c r="B71" s="27">
        <f>IF(OR(B60=0,AND(B60=0,B59=0,B58=0)),"",-B57/(B58+B59+B60))</f>
        <v>1.2493843158684821</v>
      </c>
      <c r="C71" s="27">
        <f t="shared" ref="C71:K71" si="30">IF(OR(C60=0,AND(C60=0,C59=0,C58=0)),"",-C57/(C58+C59+C60))</f>
        <v>1.2465165321438469</v>
      </c>
      <c r="D71" s="27">
        <f t="shared" si="30"/>
        <v>1.2478721325227993</v>
      </c>
      <c r="E71" s="27">
        <f t="shared" si="30"/>
        <v>1.2533175262476783</v>
      </c>
      <c r="F71" s="27">
        <f t="shared" si="30"/>
        <v>1.2478406223857113</v>
      </c>
      <c r="G71" s="27">
        <f t="shared" si="30"/>
        <v>1.2535825963271241</v>
      </c>
      <c r="H71" s="27">
        <f t="shared" si="30"/>
        <v>1.2481456087285523</v>
      </c>
      <c r="I71" s="27">
        <f t="shared" si="30"/>
        <v>1.2462550749797829</v>
      </c>
      <c r="J71" s="27">
        <f t="shared" si="30"/>
        <v>1.2477276363709326</v>
      </c>
      <c r="K71" s="28">
        <f t="shared" si="30"/>
        <v>1.2524052719298697</v>
      </c>
    </row>
    <row r="72" spans="1:11" ht="13.2" customHeight="1">
      <c r="A72" s="24" t="str">
        <f t="shared" si="27"/>
        <v>DCR Second Mortgage</v>
      </c>
      <c r="B72" s="27" t="str">
        <f>IF(OR(B61=0,AND(B58=0,B59=0,B60=0,B61=0)),"",-B57/(B58+B59+B60+B61))</f>
        <v/>
      </c>
      <c r="C72" s="27" t="str">
        <f t="shared" ref="C72:K72" si="31">IF(OR(C61=0,AND(C58=0,C59=0,C60=0,C61=0)),"",-C57/(C58+C59+C60+C61))</f>
        <v/>
      </c>
      <c r="D72" s="27" t="str">
        <f t="shared" si="31"/>
        <v/>
      </c>
      <c r="E72" s="27" t="str">
        <f t="shared" si="31"/>
        <v/>
      </c>
      <c r="F72" s="27" t="str">
        <f t="shared" si="31"/>
        <v/>
      </c>
      <c r="G72" s="27" t="str">
        <f t="shared" si="31"/>
        <v/>
      </c>
      <c r="H72" s="27" t="str">
        <f t="shared" si="31"/>
        <v/>
      </c>
      <c r="I72" s="27" t="str">
        <f t="shared" si="31"/>
        <v/>
      </c>
      <c r="J72" s="27" t="str">
        <f t="shared" si="31"/>
        <v/>
      </c>
      <c r="K72" s="28" t="str">
        <f t="shared" si="31"/>
        <v/>
      </c>
    </row>
    <row r="73" spans="1:11" ht="13.2"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2"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2" customHeight="1">
      <c r="A75" s="24" t="s">
        <v>1344</v>
      </c>
      <c r="B75" s="379">
        <f>IF(OR(B55="Choose mgt fee",B55="Choose One!"),"",(B49+B50+B51+B52+B53) / -(B54+B55+B56))</f>
        <v>1.1763686975955194</v>
      </c>
      <c r="C75" s="379">
        <f t="shared" ref="C75:K75" si="34">IF(OR(C55="Choose mgt fee",C55="Choose One!"),"",(C49+C50+C51+C52+C53) / -(C54+C55+C56))</f>
        <v>1.1708386096414161</v>
      </c>
      <c r="D75" s="379">
        <f t="shared" si="34"/>
        <v>1.1660432302235855</v>
      </c>
      <c r="E75" s="379">
        <f t="shared" si="34"/>
        <v>1.1619106910396173</v>
      </c>
      <c r="F75" s="379">
        <f t="shared" si="34"/>
        <v>1.156508096981631</v>
      </c>
      <c r="G75" s="379">
        <f t="shared" si="34"/>
        <v>1.1526483446388189</v>
      </c>
      <c r="H75" s="379">
        <f t="shared" si="34"/>
        <v>1.1475594683069661</v>
      </c>
      <c r="I75" s="379">
        <f t="shared" si="34"/>
        <v>1.1430449278962627</v>
      </c>
      <c r="J75" s="379">
        <f t="shared" si="34"/>
        <v>1.1390427741953109</v>
      </c>
      <c r="K75" s="380">
        <f t="shared" si="34"/>
        <v>1.1354989888985019</v>
      </c>
    </row>
    <row r="76" spans="1:11" ht="13.2" customHeight="1">
      <c r="A76" s="24" t="str">
        <f>IF('Part III A-Sources of Funds'!$E$32 = "Neither", "", "First Mortgage Balance")</f>
        <v/>
      </c>
      <c r="B76" s="826">
        <f>IF('Part III A-Sources of Funds'!$H$32="","",-FV('Part III A-Sources of Funds'!$J$32/12,12,B58/12,K41))</f>
        <v>0</v>
      </c>
      <c r="C76" s="826">
        <f>IF('Part III A-Sources of Funds'!$H$32="","",-FV('Part III A-Sources of Funds'!$J$32/12,12,C58/12,B76))</f>
        <v>0</v>
      </c>
      <c r="D76" s="826">
        <f>IF('Part III A-Sources of Funds'!$H$32="","",-FV('Part III A-Sources of Funds'!$J$32/12,12,D58/12,C76))</f>
        <v>0</v>
      </c>
      <c r="E76" s="826">
        <f>IF('Part III A-Sources of Funds'!$H$32="","",-FV('Part III A-Sources of Funds'!$J$32/12,12,E58/12,D76))</f>
        <v>0</v>
      </c>
      <c r="F76" s="826">
        <f>IF('Part III A-Sources of Funds'!$H$32="","",-FV('Part III A-Sources of Funds'!$J$32/12,12,F58/12,E76))</f>
        <v>0</v>
      </c>
      <c r="G76" s="826">
        <f>IF('Part III A-Sources of Funds'!$H$32="","",-FV('Part III A-Sources of Funds'!$J$32/12,12,G58/12,F76))</f>
        <v>0</v>
      </c>
      <c r="H76" s="826">
        <f>IF('Part III A-Sources of Funds'!$H$32="","",-FV('Part III A-Sources of Funds'!$J$32/12,12,H58/12,G76))</f>
        <v>0</v>
      </c>
      <c r="I76" s="826">
        <f>IF('Part III A-Sources of Funds'!$H$32="","",-FV('Part III A-Sources of Funds'!$J$32/12,12,I58/12,H76))</f>
        <v>0</v>
      </c>
      <c r="J76" s="826">
        <f>IF('Part III A-Sources of Funds'!$H$32="","",-FV('Part III A-Sources of Funds'!$J$32/12,12,J58/12,I76))</f>
        <v>0</v>
      </c>
      <c r="K76" s="826">
        <f>IF('Part III A-Sources of Funds'!$H$32="","",-FV('Part III A-Sources of Funds'!$J$32/12,12,K58/12,J76))</f>
        <v>0</v>
      </c>
    </row>
    <row r="77" spans="1:11" ht="13.2" customHeight="1">
      <c r="A77" s="24" t="str">
        <f>IF('Part III A-Sources of Funds'!$E$32 = "Neither", "First Mortgage Balance", "Second Mortgage Balance")</f>
        <v>First Mortgage Balance</v>
      </c>
      <c r="B77" s="823">
        <f>IF('Part III A-Sources of Funds'!$H$33="","",-FV('Part III A-Sources of Funds'!$J$33/12,12,B60/12,K42))</f>
        <v>952090.01324643625</v>
      </c>
      <c r="C77" s="823">
        <f>IF('Part III A-Sources of Funds'!$H$33="","",-FV('Part III A-Sources of Funds'!$J$33/12,12,C60/12,B77))</f>
        <v>927886.17935441644</v>
      </c>
      <c r="D77" s="823">
        <f>IF('Part III A-Sources of Funds'!$H$33="","",-FV('Part III A-Sources of Funds'!$J$33/12,12,D60/12,C77))</f>
        <v>903439.19469379762</v>
      </c>
      <c r="E77" s="823">
        <f>IF('Part III A-Sources of Funds'!$H$33="","",-FV('Part III A-Sources of Funds'!$J$33/12,12,E60/12,D77))</f>
        <v>878746.61658146873</v>
      </c>
      <c r="F77" s="823">
        <f>IF('Part III A-Sources of Funds'!$H$33="","",-FV('Part III A-Sources of Funds'!$J$33/12,12,F60/12,E77))</f>
        <v>853805.97779521975</v>
      </c>
      <c r="G77" s="823">
        <f>IF('Part III A-Sources of Funds'!$H$33="","",-FV('Part III A-Sources of Funds'!$J$33/12,12,G60/12,F77))</f>
        <v>828614.78632722271</v>
      </c>
      <c r="H77" s="823">
        <f>IF('Part III A-Sources of Funds'!$H$33="","",-FV('Part III A-Sources of Funds'!$J$33/12,12,H60/12,G77))</f>
        <v>803170.52513503679</v>
      </c>
      <c r="I77" s="823">
        <f>IF('Part III A-Sources of Funds'!$H$33="","",-FV('Part III A-Sources of Funds'!$J$33/12,12,I60/12,H77))</f>
        <v>777470.65189011092</v>
      </c>
      <c r="J77" s="823">
        <f>IF('Part III A-Sources of Funds'!$H$33="","",-FV('Part III A-Sources of Funds'!$J$33/12,12,J60/12,I77))</f>
        <v>751512.59872376104</v>
      </c>
      <c r="K77" s="823">
        <f>IF('Part III A-Sources of Funds'!$H$33="","",-FV('Part III A-Sources of Funds'!$J$33/12,12,K60/12,J77))</f>
        <v>725293.77197059465</v>
      </c>
    </row>
    <row r="78" spans="1:11" ht="13.2" customHeight="1">
      <c r="A78" s="24" t="str">
        <f>IF('Part III A-Sources of Funds'!$E$32 = "Neither", "Second Mortgage Balance", "Third Mortgage Balance")</f>
        <v>Second Mortgage Balance</v>
      </c>
      <c r="B78" s="823" t="str">
        <f>IF('Part III A-Sources of Funds'!$H$34="","",-FV('Part III A-Sources of Funds'!$J$34/12,12,B61/12,K43))</f>
        <v/>
      </c>
      <c r="C78" s="823" t="str">
        <f>IF('Part III A-Sources of Funds'!$H$34="","",-FV('Part III A-Sources of Funds'!$J$34/12,12,C61/12,B78))</f>
        <v/>
      </c>
      <c r="D78" s="823" t="str">
        <f>IF('Part III A-Sources of Funds'!$H$34="","",-FV('Part III A-Sources of Funds'!$J$34/12,12,D61/12,C78))</f>
        <v/>
      </c>
      <c r="E78" s="823" t="str">
        <f>IF('Part III A-Sources of Funds'!$H$34="","",-FV('Part III A-Sources of Funds'!$J$34/12,12,E61/12,D78))</f>
        <v/>
      </c>
      <c r="F78" s="823" t="str">
        <f>IF('Part III A-Sources of Funds'!$H$34="","",-FV('Part III A-Sources of Funds'!$J$34/12,12,F61/12,E78))</f>
        <v/>
      </c>
      <c r="G78" s="823" t="str">
        <f>IF('Part III A-Sources of Funds'!$H$34="","",-FV('Part III A-Sources of Funds'!$J$34/12,12,G61/12,F78))</f>
        <v/>
      </c>
      <c r="H78" s="823" t="str">
        <f>IF('Part III A-Sources of Funds'!$H$34="","",-FV('Part III A-Sources of Funds'!$J$34/12,12,H61/12,G78))</f>
        <v/>
      </c>
      <c r="I78" s="823" t="str">
        <f>IF('Part III A-Sources of Funds'!$H$34="","",-FV('Part III A-Sources of Funds'!$J$34/12,12,I61/12,H78))</f>
        <v/>
      </c>
      <c r="J78" s="823" t="str">
        <f>IF('Part III A-Sources of Funds'!$H$34="","",-FV('Part III A-Sources of Funds'!$J$34/12,12,J61/12,I78))</f>
        <v/>
      </c>
      <c r="K78" s="823" t="str">
        <f>IF('Part III A-Sources of Funds'!$H$34="","",-FV('Part III A-Sources of Funds'!$J$34/12,12,K61/12,J78))</f>
        <v/>
      </c>
    </row>
    <row r="79" spans="1:11" ht="13.2" customHeight="1">
      <c r="A79" s="24" t="s">
        <v>1363</v>
      </c>
      <c r="B79" s="823" t="str">
        <f>IF('Part III A-Sources of Funds'!$H$35="","",-FV('Part III A-Sources of Funds'!$J$35/12,12,B62/12,K44))</f>
        <v/>
      </c>
      <c r="C79" s="823" t="str">
        <f>IF('Part III A-Sources of Funds'!$H$35="","",-FV('Part III A-Sources of Funds'!$J$35/12,12,C62/12,B79))</f>
        <v/>
      </c>
      <c r="D79" s="823" t="str">
        <f>IF('Part III A-Sources of Funds'!$H$35="","",-FV('Part III A-Sources of Funds'!$J$35/12,12,D62/12,C79))</f>
        <v/>
      </c>
      <c r="E79" s="823" t="str">
        <f>IF('Part III A-Sources of Funds'!$H$35="","",-FV('Part III A-Sources of Funds'!$J$35/12,12,E62/12,D79))</f>
        <v/>
      </c>
      <c r="F79" s="823" t="str">
        <f>IF('Part III A-Sources of Funds'!$H$35="","",-FV('Part III A-Sources of Funds'!$J$35/12,12,F62/12,E79))</f>
        <v/>
      </c>
      <c r="G79" s="823" t="str">
        <f>IF('Part III A-Sources of Funds'!$H$35="","",-FV('Part III A-Sources of Funds'!$J$35/12,12,G62/12,F79))</f>
        <v/>
      </c>
      <c r="H79" s="823" t="str">
        <f>IF('Part III A-Sources of Funds'!$H$35="","",-FV('Part III A-Sources of Funds'!$J$35/12,12,H62/12,G79))</f>
        <v/>
      </c>
      <c r="I79" s="823" t="str">
        <f>IF('Part III A-Sources of Funds'!$H$35="","",-FV('Part III A-Sources of Funds'!$J$35/12,12,I62/12,H79))</f>
        <v/>
      </c>
      <c r="J79" s="823" t="str">
        <f>IF('Part III A-Sources of Funds'!$H$35="","",-FV('Part III A-Sources of Funds'!$J$35/12,12,J62/12,I79))</f>
        <v/>
      </c>
      <c r="K79" s="823" t="str">
        <f>IF('Part III A-Sources of Funds'!$H$35="","",-FV('Part III A-Sources of Funds'!$J$35/12,12,K62/12,J79))</f>
        <v/>
      </c>
    </row>
    <row r="80" spans="1:11" ht="13.2" customHeight="1">
      <c r="A80" s="24" t="s">
        <v>1363</v>
      </c>
      <c r="B80" s="823" t="str">
        <f>IF('Part III A-Sources of Funds'!$H$36="","",-FV('Part III A-Sources of Funds'!$J$36/12,12,B63/12,K45))</f>
        <v/>
      </c>
      <c r="C80" s="823" t="str">
        <f>IF('Part III A-Sources of Funds'!$H$36="","",-FV('Part III A-Sources of Funds'!$J$36/12,12,C63/12,B80))</f>
        <v/>
      </c>
      <c r="D80" s="823" t="str">
        <f>IF('Part III A-Sources of Funds'!$H$36="","",-FV('Part III A-Sources of Funds'!$J$36/12,12,D63/12,C80))</f>
        <v/>
      </c>
      <c r="E80" s="823" t="str">
        <f>IF('Part III A-Sources of Funds'!$H$36="","",-FV('Part III A-Sources of Funds'!$J$36/12,12,E63/12,D80))</f>
        <v/>
      </c>
      <c r="F80" s="823" t="str">
        <f>IF('Part III A-Sources of Funds'!$H$36="","",-FV('Part III A-Sources of Funds'!$J$36/12,12,F63/12,E80))</f>
        <v/>
      </c>
      <c r="G80" s="823" t="str">
        <f>IF('Part III A-Sources of Funds'!$H$36="","",-FV('Part III A-Sources of Funds'!$J$36/12,12,G63/12,F80))</f>
        <v/>
      </c>
      <c r="H80" s="823" t="str">
        <f>IF('Part III A-Sources of Funds'!$H$36="","",-FV('Part III A-Sources of Funds'!$J$36/12,12,H63/12,G80))</f>
        <v/>
      </c>
      <c r="I80" s="823" t="str">
        <f>IF('Part III A-Sources of Funds'!$H$36="","",-FV('Part III A-Sources of Funds'!$J$36/12,12,I63/12,H80))</f>
        <v/>
      </c>
      <c r="J80" s="823" t="str">
        <f>IF('Part III A-Sources of Funds'!$H$36="","",-FV('Part III A-Sources of Funds'!$J$36/12,12,J63/12,I80))</f>
        <v/>
      </c>
      <c r="K80" s="823" t="str">
        <f>IF('Part III A-Sources of Funds'!$H$36="","",-FV('Part III A-Sources of Funds'!$J$36/12,12,K63/12,J80))</f>
        <v/>
      </c>
    </row>
    <row r="81" spans="1:11" ht="13.2" customHeight="1">
      <c r="A81" s="29" t="s">
        <v>1898</v>
      </c>
      <c r="B81" s="825">
        <f>IF('Part III A-Sources of Funds'!$H$37="","",-FV('Part III A-Sources of Funds'!$J$37/12,12,B66/12,K46))</f>
        <v>0</v>
      </c>
      <c r="C81" s="825">
        <f>IF('Part III A-Sources of Funds'!$H$37="","",-FV('Part III A-Sources of Funds'!$J$37/12,12,C66/12,B81))</f>
        <v>0</v>
      </c>
      <c r="D81" s="825">
        <f>IF('Part III A-Sources of Funds'!$H$37="","",-FV('Part III A-Sources of Funds'!$J$37/12,12,D66/12,C81))</f>
        <v>0</v>
      </c>
      <c r="E81" s="825">
        <f>IF('Part III A-Sources of Funds'!$H$37="","",-FV('Part III A-Sources of Funds'!$J$37/12,12,E66/12,D81))</f>
        <v>0</v>
      </c>
      <c r="F81" s="825">
        <f>IF('Part III A-Sources of Funds'!$H$37="","",-FV('Part III A-Sources of Funds'!$J$37/12,12,F66/12,E81))</f>
        <v>0</v>
      </c>
      <c r="G81" s="825">
        <f>IF('Part III A-Sources of Funds'!$H$37="","",-FV('Part III A-Sources of Funds'!$J$37/12,12,G66/12,F81))</f>
        <v>0</v>
      </c>
      <c r="H81" s="825">
        <f>IF('Part III A-Sources of Funds'!$H$37="","",-FV('Part III A-Sources of Funds'!$J$37/12,12,H66/12,G81))</f>
        <v>0</v>
      </c>
      <c r="I81" s="825">
        <f>IF('Part III A-Sources of Funds'!$H$37="","",-FV('Part III A-Sources of Funds'!$J$37/12,12,I66/12,H81))</f>
        <v>0</v>
      </c>
      <c r="J81" s="825">
        <f>IF('Part III A-Sources of Funds'!$H$37="","",-FV('Part III A-Sources of Funds'!$J$37/12,12,J66/12,I81))</f>
        <v>0</v>
      </c>
      <c r="K81" s="825">
        <f>IF('Part III A-Sources of Funds'!$H$37="","",-FV('Part III A-Sources of Funds'!$J$37/12,12,K66/12,J81))</f>
        <v>0</v>
      </c>
    </row>
    <row r="82" spans="1:11" ht="4.2" customHeight="1">
      <c r="B82" s="20"/>
      <c r="C82" s="20"/>
      <c r="D82" s="20"/>
      <c r="E82" s="20"/>
      <c r="F82" s="20"/>
      <c r="G82" s="20"/>
      <c r="H82" s="20"/>
      <c r="I82" s="20"/>
      <c r="J82" s="20"/>
      <c r="K82" s="20"/>
    </row>
    <row r="83" spans="1:11" ht="14.4" customHeight="1">
      <c r="A83" s="16" t="s">
        <v>3752</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2" customHeight="1">
      <c r="A84" s="21" t="s">
        <v>3641</v>
      </c>
      <c r="B84" s="22">
        <f t="shared" ref="B84:K84" si="36">$B$14*(1+$B$5)^(B83-1)</f>
        <v>340365.16673321789</v>
      </c>
      <c r="C84" s="22">
        <f t="shared" si="36"/>
        <v>347172.47006788221</v>
      </c>
      <c r="D84" s="22">
        <f t="shared" si="36"/>
        <v>354115.91946923989</v>
      </c>
      <c r="E84" s="22">
        <f t="shared" si="36"/>
        <v>361198.23785862466</v>
      </c>
      <c r="F84" s="22">
        <f t="shared" si="36"/>
        <v>368422.20261579717</v>
      </c>
      <c r="G84" s="22">
        <f t="shared" si="36"/>
        <v>375790.64666811307</v>
      </c>
      <c r="H84" s="22">
        <f t="shared" si="36"/>
        <v>383306.45960147539</v>
      </c>
      <c r="I84" s="22">
        <f t="shared" si="36"/>
        <v>390972.58879350481</v>
      </c>
      <c r="J84" s="22">
        <f t="shared" si="36"/>
        <v>398792.04056937504</v>
      </c>
      <c r="K84" s="23">
        <f t="shared" si="36"/>
        <v>406767.88138076244</v>
      </c>
    </row>
    <row r="85" spans="1:11" ht="13.2" customHeight="1">
      <c r="A85" s="24" t="s">
        <v>1631</v>
      </c>
      <c r="B85" s="25">
        <f t="shared" ref="B85:K85" si="37">$B$15*(1+$B$5)^(B83-1)</f>
        <v>6807.3033346643579</v>
      </c>
      <c r="C85" s="25">
        <f t="shared" si="37"/>
        <v>6943.449401357645</v>
      </c>
      <c r="D85" s="25">
        <f t="shared" si="37"/>
        <v>7082.3183893847981</v>
      </c>
      <c r="E85" s="25">
        <f t="shared" si="37"/>
        <v>7223.9647571724927</v>
      </c>
      <c r="F85" s="25">
        <f t="shared" si="37"/>
        <v>7368.4440523159428</v>
      </c>
      <c r="G85" s="25">
        <f t="shared" si="37"/>
        <v>7515.8129333622619</v>
      </c>
      <c r="H85" s="25">
        <f t="shared" si="37"/>
        <v>7666.129192029508</v>
      </c>
      <c r="I85" s="25">
        <f t="shared" si="37"/>
        <v>7819.4517758700968</v>
      </c>
      <c r="J85" s="25">
        <f t="shared" si="37"/>
        <v>7975.8408113875003</v>
      </c>
      <c r="K85" s="26">
        <f t="shared" si="37"/>
        <v>8135.3576276152489</v>
      </c>
    </row>
    <row r="86" spans="1:11" ht="13.2" customHeight="1">
      <c r="A86" s="24" t="s">
        <v>3642</v>
      </c>
      <c r="B86" s="25">
        <f t="shared" ref="B86:K86" si="38">-(B84+B85)*$B$8</f>
        <v>-24302.07290475176</v>
      </c>
      <c r="C86" s="25">
        <f t="shared" si="38"/>
        <v>-24788.114362846791</v>
      </c>
      <c r="D86" s="25">
        <f t="shared" si="38"/>
        <v>-25283.876650103728</v>
      </c>
      <c r="E86" s="25">
        <f t="shared" si="38"/>
        <v>-25789.554183105804</v>
      </c>
      <c r="F86" s="25">
        <f t="shared" si="38"/>
        <v>-26305.345266767923</v>
      </c>
      <c r="G86" s="25">
        <f t="shared" si="38"/>
        <v>-26831.452172103276</v>
      </c>
      <c r="H86" s="25">
        <f t="shared" si="38"/>
        <v>-27368.081215545346</v>
      </c>
      <c r="I86" s="25">
        <f t="shared" si="38"/>
        <v>-27915.442839856249</v>
      </c>
      <c r="J86" s="25">
        <f t="shared" si="38"/>
        <v>-28473.75169665338</v>
      </c>
      <c r="K86" s="26">
        <f t="shared" si="38"/>
        <v>-29043.226730586444</v>
      </c>
    </row>
    <row r="87" spans="1:11" ht="13.2"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62</v>
      </c>
      <c r="B88" s="25">
        <f>'Part VI-Revenues &amp; Expenses'!G137</f>
        <v>39000</v>
      </c>
      <c r="C88" s="25">
        <f>'Part VI-Revenues &amp; Expenses'!H137</f>
        <v>42250</v>
      </c>
      <c r="D88" s="25">
        <f>'Part VI-Revenues &amp; Expenses'!I137</f>
        <v>45500</v>
      </c>
      <c r="E88" s="25">
        <f>'Part VI-Revenues &amp; Expenses'!J137</f>
        <v>49000</v>
      </c>
      <c r="F88" s="25">
        <f>'Part VI-Revenues &amp; Expenses'!K137</f>
        <v>52750</v>
      </c>
      <c r="G88" s="25">
        <f>'Part VI-Revenues &amp; Expenses'!L137</f>
        <v>56500</v>
      </c>
      <c r="H88" s="25">
        <f>'Part VI-Revenues &amp; Expenses'!M137</f>
        <v>60500</v>
      </c>
      <c r="I88" s="25">
        <f>'Part VI-Revenues &amp; Expenses'!N137</f>
        <v>64750</v>
      </c>
      <c r="J88" s="25">
        <f>'Part VI-Revenues &amp; Expenses'!O137</f>
        <v>69000</v>
      </c>
      <c r="K88" s="26">
        <f>'Part VI-Revenues &amp; Expenses'!P137</f>
        <v>73750</v>
      </c>
    </row>
    <row r="89" spans="1:11" ht="13.2" customHeight="1">
      <c r="A89" s="24" t="s">
        <v>947</v>
      </c>
      <c r="B89" s="25">
        <f t="shared" ref="B89:K89" si="39">$B$19*(1+$B$6)^(B83-1)</f>
        <v>-248233.73420419882</v>
      </c>
      <c r="C89" s="25">
        <f t="shared" si="39"/>
        <v>-255680.74623032476</v>
      </c>
      <c r="D89" s="25">
        <f t="shared" si="39"/>
        <v>-263351.16861723451</v>
      </c>
      <c r="E89" s="25">
        <f t="shared" si="39"/>
        <v>-271251.70367575157</v>
      </c>
      <c r="F89" s="25">
        <f t="shared" si="39"/>
        <v>-279389.2547860241</v>
      </c>
      <c r="G89" s="25">
        <f t="shared" si="39"/>
        <v>-287770.93242960481</v>
      </c>
      <c r="H89" s="25">
        <f t="shared" si="39"/>
        <v>-296404.06040249299</v>
      </c>
      <c r="I89" s="25">
        <f t="shared" si="39"/>
        <v>-305296.18221456773</v>
      </c>
      <c r="J89" s="25">
        <f t="shared" si="39"/>
        <v>-314455.06768100476</v>
      </c>
      <c r="K89" s="26">
        <f t="shared" si="39"/>
        <v>-323888.71971143491</v>
      </c>
    </row>
    <row r="90" spans="1:11" ht="13.2" customHeight="1">
      <c r="A90" s="24" t="s">
        <v>1745</v>
      </c>
      <c r="B90" s="25">
        <f>IF(AND('Part VII-Pro Forma'!$G$8="Yes",'Part VII-Pro Forma'!$G$9="Yes"),"Choose One!",IF('Part VII-Pro Forma'!$G$8="Yes",ROUND((-$K$8*(1+'Part VII-Pro Forma'!$B$6)^('Part VII-Pro Forma'!B83-1)),),IF('Part VII-Pro Forma'!$G$9="Yes",ROUND((-(SUM(B84:B87)*'Part VII-Pro Forma'!$K$9)),),"Choose mgt fee")))</f>
        <v>-40804</v>
      </c>
      <c r="C90" s="25">
        <f>IF(AND('Part VII-Pro Forma'!$G$8="Yes",'Part VII-Pro Forma'!$G$9="Yes"),"Choose One!",IF('Part VII-Pro Forma'!$G$8="Yes",ROUND((-$K$8*(1+'Part VII-Pro Forma'!$B$6)^('Part VII-Pro Forma'!C83-1)),),IF('Part VII-Pro Forma'!$G$9="Yes",ROUND((-(SUM(C84:C87)*'Part VII-Pro Forma'!$K$9)),),"Choose mgt fee")))</f>
        <v>-42028</v>
      </c>
      <c r="D90" s="25">
        <f>IF(AND('Part VII-Pro Forma'!$G$8="Yes",'Part VII-Pro Forma'!$G$9="Yes"),"Choose One!",IF('Part VII-Pro Forma'!$G$8="Yes",ROUND((-$K$8*(1+'Part VII-Pro Forma'!$B$6)^('Part VII-Pro Forma'!D83-1)),),IF('Part VII-Pro Forma'!$G$9="Yes",ROUND((-(SUM(D84:D87)*'Part VII-Pro Forma'!$K$9)),),"Choose mgt fee")))</f>
        <v>-43289</v>
      </c>
      <c r="E90" s="25">
        <f>IF(AND('Part VII-Pro Forma'!$G$8="Yes",'Part VII-Pro Forma'!$G$9="Yes"),"Choose One!",IF('Part VII-Pro Forma'!$G$8="Yes",ROUND((-$K$8*(1+'Part VII-Pro Forma'!$B$6)^('Part VII-Pro Forma'!E83-1)),),IF('Part VII-Pro Forma'!$G$9="Yes",ROUND((-(SUM(E84:E87)*'Part VII-Pro Forma'!$K$9)),),"Choose mgt fee")))</f>
        <v>-44587</v>
      </c>
      <c r="F90" s="25">
        <f>IF(AND('Part VII-Pro Forma'!$G$8="Yes",'Part VII-Pro Forma'!$G$9="Yes"),"Choose One!",IF('Part VII-Pro Forma'!$G$8="Yes",ROUND((-$K$8*(1+'Part VII-Pro Forma'!$B$6)^('Part VII-Pro Forma'!F83-1)),),IF('Part VII-Pro Forma'!$G$9="Yes",ROUND((-(SUM(F84:F87)*'Part VII-Pro Forma'!$K$9)),),"Choose mgt fee")))</f>
        <v>-45925</v>
      </c>
      <c r="G90" s="25">
        <f>IF(AND('Part VII-Pro Forma'!$G$8="Yes",'Part VII-Pro Forma'!$G$9="Yes"),"Choose One!",IF('Part VII-Pro Forma'!$G$8="Yes",ROUND((-$K$8*(1+'Part VII-Pro Forma'!$B$6)^('Part VII-Pro Forma'!G83-1)),),IF('Part VII-Pro Forma'!$G$9="Yes",ROUND((-(SUM(G84:G87)*'Part VII-Pro Forma'!$K$9)),),"Choose mgt fee")))</f>
        <v>-47303</v>
      </c>
      <c r="H90" s="25">
        <f>IF(AND('Part VII-Pro Forma'!$G$8="Yes",'Part VII-Pro Forma'!$G$9="Yes"),"Choose One!",IF('Part VII-Pro Forma'!$G$8="Yes",ROUND((-$K$8*(1+'Part VII-Pro Forma'!$B$6)^('Part VII-Pro Forma'!H83-1)),),IF('Part VII-Pro Forma'!$G$9="Yes",ROUND((-(SUM(H84:H87)*'Part VII-Pro Forma'!$K$9)),),"Choose mgt fee")))</f>
        <v>-48722</v>
      </c>
      <c r="I90" s="25">
        <f>IF(AND('Part VII-Pro Forma'!$G$8="Yes",'Part VII-Pro Forma'!$G$9="Yes"),"Choose One!",IF('Part VII-Pro Forma'!$G$8="Yes",ROUND((-$K$8*(1+'Part VII-Pro Forma'!$B$6)^('Part VII-Pro Forma'!I83-1)),),IF('Part VII-Pro Forma'!$G$9="Yes",ROUND((-(SUM(I84:I87)*'Part VII-Pro Forma'!$K$9)),),"Choose mgt fee")))</f>
        <v>-50183</v>
      </c>
      <c r="J90" s="25">
        <f>IF(AND('Part VII-Pro Forma'!$G$8="Yes",'Part VII-Pro Forma'!$G$9="Yes"),"Choose One!",IF('Part VII-Pro Forma'!$G$8="Yes",ROUND((-$K$8*(1+'Part VII-Pro Forma'!$B$6)^('Part VII-Pro Forma'!J83-1)),),IF('Part VII-Pro Forma'!$G$9="Yes",ROUND((-(SUM(J84:J87)*'Part VII-Pro Forma'!$K$9)),),"Choose mgt fee")))</f>
        <v>-51689</v>
      </c>
      <c r="K90" s="25">
        <f>IF(AND('Part VII-Pro Forma'!$G$8="Yes",'Part VII-Pro Forma'!$G$9="Yes"),"Choose One!",IF('Part VII-Pro Forma'!$G$8="Yes",ROUND((-$K$8*(1+'Part VII-Pro Forma'!$B$6)^('Part VII-Pro Forma'!K83-1)),),IF('Part VII-Pro Forma'!$G$9="Yes",ROUND((-(SUM(K84:K87)*'Part VII-Pro Forma'!$K$9)),),"Choose mgt fee")))</f>
        <v>-53240</v>
      </c>
    </row>
    <row r="91" spans="1:11" ht="13.2" customHeight="1">
      <c r="A91" s="24" t="s">
        <v>1861</v>
      </c>
      <c r="B91" s="25">
        <f t="shared" ref="B91:K91" si="40">$B$21*(1+$B$7)^(B83-1)</f>
        <v>-30974.807674580436</v>
      </c>
      <c r="C91" s="25">
        <f t="shared" si="40"/>
        <v>-31904.051904817847</v>
      </c>
      <c r="D91" s="25">
        <f t="shared" si="40"/>
        <v>-32861.173461962382</v>
      </c>
      <c r="E91" s="25">
        <f t="shared" si="40"/>
        <v>-33847.00866582126</v>
      </c>
      <c r="F91" s="25">
        <f t="shared" si="40"/>
        <v>-34862.418925795893</v>
      </c>
      <c r="G91" s="25">
        <f t="shared" si="40"/>
        <v>-35908.29149356977</v>
      </c>
      <c r="H91" s="25">
        <f t="shared" si="40"/>
        <v>-36985.540238376867</v>
      </c>
      <c r="I91" s="25">
        <f t="shared" si="40"/>
        <v>-38095.106445528167</v>
      </c>
      <c r="J91" s="25">
        <f t="shared" si="40"/>
        <v>-39237.959638894012</v>
      </c>
      <c r="K91" s="26">
        <f t="shared" si="40"/>
        <v>-40415.098428060832</v>
      </c>
    </row>
    <row r="92" spans="1:11" ht="13.2" customHeight="1">
      <c r="A92" s="24" t="s">
        <v>1862</v>
      </c>
      <c r="B92" s="25">
        <f t="shared" ref="B92:K92" si="41">SUM(B84:B91)</f>
        <v>41857.855284351266</v>
      </c>
      <c r="C92" s="25">
        <f t="shared" si="41"/>
        <v>41965.006971250456</v>
      </c>
      <c r="D92" s="25">
        <f t="shared" si="41"/>
        <v>41913.019129324057</v>
      </c>
      <c r="E92" s="25">
        <f t="shared" si="41"/>
        <v>41946.936091118514</v>
      </c>
      <c r="F92" s="25">
        <f t="shared" si="41"/>
        <v>42058.627689525179</v>
      </c>
      <c r="G92" s="25">
        <f t="shared" si="41"/>
        <v>41992.783506197469</v>
      </c>
      <c r="H92" s="25">
        <f t="shared" si="41"/>
        <v>41992.906937089705</v>
      </c>
      <c r="I92" s="25">
        <f t="shared" si="41"/>
        <v>42052.309069422765</v>
      </c>
      <c r="J92" s="25">
        <f t="shared" si="41"/>
        <v>41912.102364210412</v>
      </c>
      <c r="K92" s="26">
        <f t="shared" si="41"/>
        <v>42066.194138295534</v>
      </c>
    </row>
    <row r="93" spans="1:11" ht="13.2" customHeight="1">
      <c r="A93" s="24" t="str">
        <f t="shared" ref="A93:A98" si="42">$A58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2"/>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2"/>
        <v>D/S Mortgage A</v>
      </c>
      <c r="B95" s="823">
        <f>IF('Part III A-Sources of Funds'!$M$33="", 0,-'Part III A-Sources of Funds'!$M$33)</f>
        <v>-33614</v>
      </c>
      <c r="C95" s="823">
        <f>IF('Part III A-Sources of Funds'!$M$33="", 0,-'Part III A-Sources of Funds'!$M$33)</f>
        <v>-33614</v>
      </c>
      <c r="D95" s="823">
        <f>IF('Part III A-Sources of Funds'!$M$33="", 0,-'Part III A-Sources of Funds'!$M$33)</f>
        <v>-33614</v>
      </c>
      <c r="E95" s="823">
        <f>IF('Part III A-Sources of Funds'!$M$33="", 0,-'Part III A-Sources of Funds'!$M$33)</f>
        <v>-33614</v>
      </c>
      <c r="F95" s="823">
        <f>IF('Part III A-Sources of Funds'!$M$33="", 0,-'Part III A-Sources of Funds'!$M$33)</f>
        <v>-33614</v>
      </c>
      <c r="G95" s="823">
        <f>IF('Part III A-Sources of Funds'!$M$33="", 0,-'Part III A-Sources of Funds'!$M$33)</f>
        <v>-33614</v>
      </c>
      <c r="H95" s="823">
        <f>IF('Part III A-Sources of Funds'!$M$33="", 0,-'Part III A-Sources of Funds'!$M$33)</f>
        <v>-33614</v>
      </c>
      <c r="I95" s="823">
        <f>IF('Part III A-Sources of Funds'!$M$33="", 0,-'Part III A-Sources of Funds'!$M$33)</f>
        <v>-33614</v>
      </c>
      <c r="J95" s="823">
        <f>IF('Part III A-Sources of Funds'!$M$33="", 0,-'Part III A-Sources of Funds'!$M$33)</f>
        <v>-33614</v>
      </c>
      <c r="K95" s="823">
        <f>IF('Part III A-Sources of Funds'!$M$33="", 0,-'Part III A-Sources of Funds'!$M$33)</f>
        <v>-33614</v>
      </c>
    </row>
    <row r="96" spans="1:11" ht="13.2" customHeight="1">
      <c r="A96" s="24" t="str">
        <f t="shared" si="42"/>
        <v>D/S Mortgage B</v>
      </c>
      <c r="B96" s="823">
        <f>IF('Part III A-Sources of Funds'!$M$34="", 0,-'Part III A-Sources of Funds'!$M$34)</f>
        <v>0</v>
      </c>
      <c r="C96" s="823">
        <f>IF('Part III A-Sources of Funds'!$M$34="", 0,-'Part III A-Sources of Funds'!$M$34)</f>
        <v>0</v>
      </c>
      <c r="D96" s="823">
        <f>IF('Part III A-Sources of Funds'!$M$34="", 0,-'Part III A-Sources of Funds'!$M$34)</f>
        <v>0</v>
      </c>
      <c r="E96" s="823">
        <f>IF('Part III A-Sources of Funds'!$M$34="", 0,-'Part III A-Sources of Funds'!$M$34)</f>
        <v>0</v>
      </c>
      <c r="F96" s="823">
        <f>IF('Part III A-Sources of Funds'!$M$34="", 0,-'Part III A-Sources of Funds'!$M$34)</f>
        <v>0</v>
      </c>
      <c r="G96" s="823">
        <f>IF('Part III A-Sources of Funds'!$M$34="", 0,-'Part III A-Sources of Funds'!$M$34)</f>
        <v>0</v>
      </c>
      <c r="H96" s="823">
        <f>IF('Part III A-Sources of Funds'!$M$34="", 0,-'Part III A-Sources of Funds'!$M$34)</f>
        <v>0</v>
      </c>
      <c r="I96" s="823">
        <f>IF('Part III A-Sources of Funds'!$M$34="", 0,-'Part III A-Sources of Funds'!$M$34)</f>
        <v>0</v>
      </c>
      <c r="J96" s="823">
        <f>IF('Part III A-Sources of Funds'!$M$34="", 0,-'Part III A-Sources of Funds'!$M$34)</f>
        <v>0</v>
      </c>
      <c r="K96" s="823">
        <f>IF('Part III A-Sources of Funds'!$M$34="", 0,-'Part III A-Sources of Funds'!$M$34)</f>
        <v>0</v>
      </c>
    </row>
    <row r="97" spans="1:11" ht="13.2" customHeight="1">
      <c r="A97" s="24" t="str">
        <f t="shared" si="42"/>
        <v>D/S Other Source</v>
      </c>
      <c r="B97" s="823">
        <f>IF('Part III A-Sources of Funds'!$M$35="", 0,-'Part III A-Sources of Funds'!$M$35)</f>
        <v>0</v>
      </c>
      <c r="C97" s="823">
        <f>IF('Part III A-Sources of Funds'!$M$35="", 0,-'Part III A-Sources of Funds'!$M$35)</f>
        <v>0</v>
      </c>
      <c r="D97" s="823">
        <f>IF('Part III A-Sources of Funds'!$M$35="", 0,-'Part III A-Sources of Funds'!$M$35)</f>
        <v>0</v>
      </c>
      <c r="E97" s="823">
        <f>IF('Part III A-Sources of Funds'!$M$35="", 0,-'Part III A-Sources of Funds'!$M$35)</f>
        <v>0</v>
      </c>
      <c r="F97" s="823">
        <f>IF('Part III A-Sources of Funds'!$M$35="", 0,-'Part III A-Sources of Funds'!$M$35)</f>
        <v>0</v>
      </c>
      <c r="G97" s="823">
        <f>IF('Part III A-Sources of Funds'!$M$35="", 0,-'Part III A-Sources of Funds'!$M$35)</f>
        <v>0</v>
      </c>
      <c r="H97" s="823">
        <f>IF('Part III A-Sources of Funds'!$M$35="", 0,-'Part III A-Sources of Funds'!$M$35)</f>
        <v>0</v>
      </c>
      <c r="I97" s="823">
        <f>IF('Part III A-Sources of Funds'!$M$35="", 0,-'Part III A-Sources of Funds'!$M$35)</f>
        <v>0</v>
      </c>
      <c r="J97" s="823">
        <f>IF('Part III A-Sources of Funds'!$M$35="", 0,-'Part III A-Sources of Funds'!$M$35)</f>
        <v>0</v>
      </c>
      <c r="K97" s="823">
        <f>IF('Part III A-Sources of Funds'!$M$35="", 0,-'Part III A-Sources of Funds'!$M$35)</f>
        <v>0</v>
      </c>
    </row>
    <row r="98" spans="1:11" ht="13.2" customHeight="1">
      <c r="A98" s="24" t="str">
        <f t="shared" si="42"/>
        <v>D/S Grant from fdn / charity</v>
      </c>
      <c r="B98" s="823">
        <f>IF('Part III A-Sources of Funds'!$M$36="", 0,-'Part III A-Sources of Funds'!$M$36)</f>
        <v>0</v>
      </c>
      <c r="C98" s="823">
        <f>IF('Part III A-Sources of Funds'!$M$36="", 0,-'Part III A-Sources of Funds'!$M$36)</f>
        <v>0</v>
      </c>
      <c r="D98" s="823">
        <f>IF('Part III A-Sources of Funds'!$M$36="", 0,-'Part III A-Sources of Funds'!$M$36)</f>
        <v>0</v>
      </c>
      <c r="E98" s="823">
        <f>IF('Part III A-Sources of Funds'!$M$36="", 0,-'Part III A-Sources of Funds'!$M$36)</f>
        <v>0</v>
      </c>
      <c r="F98" s="823">
        <f>IF('Part III A-Sources of Funds'!$M$36="", 0,-'Part III A-Sources of Funds'!$M$36)</f>
        <v>0</v>
      </c>
      <c r="G98" s="823">
        <f>IF('Part III A-Sources of Funds'!$M$36="", 0,-'Part III A-Sources of Funds'!$M$36)</f>
        <v>0</v>
      </c>
      <c r="H98" s="823">
        <f>IF('Part III A-Sources of Funds'!$M$36="", 0,-'Part III A-Sources of Funds'!$M$36)</f>
        <v>0</v>
      </c>
      <c r="I98" s="823">
        <f>IF('Part III A-Sources of Funds'!$M$36="", 0,-'Part III A-Sources of Funds'!$M$36)</f>
        <v>0</v>
      </c>
      <c r="J98" s="823">
        <f>IF('Part III A-Sources of Funds'!$M$36="", 0,-'Part III A-Sources of Funds'!$M$36)</f>
        <v>0</v>
      </c>
      <c r="K98" s="823">
        <f>IF('Part III A-Sources of Funds'!$M$36="", 0,-'Part III A-Sources of Funds'!$M$36)</f>
        <v>0</v>
      </c>
    </row>
    <row r="99" spans="1:11" ht="13.2" customHeight="1">
      <c r="A99" s="24" t="s">
        <v>1335</v>
      </c>
      <c r="B99" s="824"/>
      <c r="C99" s="824"/>
      <c r="D99" s="824"/>
      <c r="E99" s="824"/>
      <c r="F99" s="824"/>
      <c r="G99" s="824"/>
      <c r="H99" s="824"/>
      <c r="I99" s="824"/>
      <c r="J99" s="824"/>
      <c r="K99" s="824"/>
    </row>
    <row r="100" spans="1:11" ht="13.2" customHeight="1">
      <c r="A100" s="24" t="s">
        <v>1806</v>
      </c>
      <c r="B100" s="823">
        <f>+K65</f>
        <v>0</v>
      </c>
      <c r="C100" s="823">
        <f t="shared" ref="C100:K100" si="43">+B100</f>
        <v>0</v>
      </c>
      <c r="D100" s="823">
        <f t="shared" si="43"/>
        <v>0</v>
      </c>
      <c r="E100" s="823">
        <f t="shared" si="43"/>
        <v>0</v>
      </c>
      <c r="F100" s="823">
        <f t="shared" si="43"/>
        <v>0</v>
      </c>
      <c r="G100" s="823">
        <f t="shared" si="43"/>
        <v>0</v>
      </c>
      <c r="H100" s="823">
        <f t="shared" si="43"/>
        <v>0</v>
      </c>
      <c r="I100" s="823">
        <f t="shared" si="43"/>
        <v>0</v>
      </c>
      <c r="J100" s="823">
        <f t="shared" si="43"/>
        <v>0</v>
      </c>
      <c r="K100" s="823">
        <f t="shared" si="43"/>
        <v>0</v>
      </c>
    </row>
    <row r="101" spans="1:11" ht="13.2" customHeight="1">
      <c r="A101" s="24" t="s">
        <v>1863</v>
      </c>
      <c r="B101" s="823"/>
      <c r="C101" s="823"/>
      <c r="D101" s="823"/>
      <c r="E101" s="823"/>
      <c r="F101" s="823"/>
      <c r="G101" s="823"/>
      <c r="H101" s="823"/>
      <c r="I101" s="823"/>
      <c r="J101" s="823"/>
      <c r="K101" s="823"/>
    </row>
    <row r="102" spans="1:11" ht="13.2" customHeight="1">
      <c r="A102" s="24" t="s">
        <v>1807</v>
      </c>
      <c r="B102" s="825">
        <f>+K67</f>
        <v>0</v>
      </c>
      <c r="C102" s="825">
        <f t="shared" ref="C102:K102" si="44">+B102</f>
        <v>0</v>
      </c>
      <c r="D102" s="825">
        <f t="shared" si="44"/>
        <v>0</v>
      </c>
      <c r="E102" s="825">
        <f t="shared" si="44"/>
        <v>0</v>
      </c>
      <c r="F102" s="825">
        <f t="shared" si="44"/>
        <v>0</v>
      </c>
      <c r="G102" s="825">
        <f t="shared" si="44"/>
        <v>0</v>
      </c>
      <c r="H102" s="825">
        <f t="shared" si="44"/>
        <v>0</v>
      </c>
      <c r="I102" s="825">
        <f t="shared" si="44"/>
        <v>0</v>
      </c>
      <c r="J102" s="825">
        <f t="shared" si="44"/>
        <v>0</v>
      </c>
      <c r="K102" s="825">
        <f t="shared" si="44"/>
        <v>0</v>
      </c>
    </row>
    <row r="103" spans="1:11" ht="13.2" customHeight="1">
      <c r="A103" s="24" t="s">
        <v>1808</v>
      </c>
      <c r="B103" s="25">
        <f t="shared" ref="B103:K103" si="45">SUM(B92:B102)</f>
        <v>8243.8552843512662</v>
      </c>
      <c r="C103" s="25">
        <f t="shared" si="45"/>
        <v>8351.0069712504555</v>
      </c>
      <c r="D103" s="25">
        <f t="shared" si="45"/>
        <v>8299.0191293240568</v>
      </c>
      <c r="E103" s="25">
        <f t="shared" si="45"/>
        <v>8332.936091118514</v>
      </c>
      <c r="F103" s="25">
        <f t="shared" si="45"/>
        <v>8444.6276895251794</v>
      </c>
      <c r="G103" s="25">
        <f t="shared" si="45"/>
        <v>8378.7835061974693</v>
      </c>
      <c r="H103" s="25">
        <f t="shared" si="45"/>
        <v>8378.906937089705</v>
      </c>
      <c r="I103" s="25">
        <f t="shared" si="45"/>
        <v>8438.3090694227649</v>
      </c>
      <c r="J103" s="25">
        <f t="shared" si="45"/>
        <v>8298.1023642104119</v>
      </c>
      <c r="K103" s="23">
        <f t="shared" si="45"/>
        <v>8452.1941382955338</v>
      </c>
    </row>
    <row r="104" spans="1:11" ht="13.2" customHeight="1">
      <c r="A104" s="24" t="str">
        <f t="shared" ref="A104:A109" si="46">$A69</f>
        <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2" customHeight="1">
      <c r="A105" s="24" t="str">
        <f t="shared" si="46"/>
        <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2" customHeight="1">
      <c r="A106" s="24" t="str">
        <f t="shared" si="46"/>
        <v>DCR First Mortgage</v>
      </c>
      <c r="B106" s="27">
        <f>IF(OR(B95=0,AND(B95=0,B94=0,B93=0)),"",-B92/(B93+B94+B95))</f>
        <v>1.2452506480737568</v>
      </c>
      <c r="C106" s="27">
        <f t="shared" ref="C106:K106" si="49">IF(OR(C95=0,AND(C95=0,C94=0,C93=0)),"",-C92/(C93+C94+C95))</f>
        <v>1.2484383581617913</v>
      </c>
      <c r="D106" s="27">
        <f t="shared" si="49"/>
        <v>1.2468917453835919</v>
      </c>
      <c r="E106" s="27">
        <f t="shared" si="49"/>
        <v>1.2479007583482631</v>
      </c>
      <c r="F106" s="27">
        <f t="shared" si="49"/>
        <v>1.2512235285751525</v>
      </c>
      <c r="G106" s="27">
        <f t="shared" si="49"/>
        <v>1.2492646964418834</v>
      </c>
      <c r="H106" s="27">
        <f t="shared" si="49"/>
        <v>1.2492683684503394</v>
      </c>
      <c r="I106" s="27">
        <f t="shared" si="49"/>
        <v>1.2510355527287071</v>
      </c>
      <c r="J106" s="27">
        <f t="shared" si="49"/>
        <v>1.2468644720714706</v>
      </c>
      <c r="K106" s="28">
        <f t="shared" si="49"/>
        <v>1.2514486267119513</v>
      </c>
    </row>
    <row r="107" spans="1:11" ht="13.2" customHeight="1">
      <c r="A107" s="24" t="str">
        <f t="shared" si="46"/>
        <v>DCR Second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2"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2"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2" customHeight="1">
      <c r="A110" s="24" t="s">
        <v>1344</v>
      </c>
      <c r="B110" s="379">
        <f>IF(OR(B90="Choose mgt fee",B90="Choose One!"),"",(B84+B85+B86+B87+B88) / -(B89+B90+B91))</f>
        <v>1.1308006712443384</v>
      </c>
      <c r="C110" s="379">
        <f t="shared" ref="C110:K110" si="53">IF(OR(C90="Choose mgt fee",C90="Choose One!"),"",(C84+C85+C86+C87+C88) / -(C89+C90+C91))</f>
        <v>1.1273160727031135</v>
      </c>
      <c r="D110" s="379">
        <f t="shared" si="53"/>
        <v>1.1234546493178423</v>
      </c>
      <c r="E110" s="379">
        <f t="shared" si="53"/>
        <v>1.1199561051843741</v>
      </c>
      <c r="F110" s="379">
        <f t="shared" si="53"/>
        <v>1.1167722141916847</v>
      </c>
      <c r="G110" s="379">
        <f t="shared" si="53"/>
        <v>1.1131935192530777</v>
      </c>
      <c r="H110" s="379">
        <f t="shared" si="53"/>
        <v>1.1098969695415162</v>
      </c>
      <c r="I110" s="379">
        <f t="shared" si="53"/>
        <v>1.1068471957672534</v>
      </c>
      <c r="J110" s="379">
        <f t="shared" si="53"/>
        <v>1.1033891478645559</v>
      </c>
      <c r="K110" s="380">
        <f t="shared" si="53"/>
        <v>1.1007467774896904</v>
      </c>
    </row>
    <row r="111" spans="1:11" ht="13.2" customHeight="1">
      <c r="A111" s="24" t="str">
        <f>IF('Part III A-Sources of Funds'!$E$32 = "Neither", "", "First Mortgage Balance")</f>
        <v/>
      </c>
      <c r="B111" s="826">
        <f>IF('Part III A-Sources of Funds'!$H$32="","",-FV('Part III A-Sources of Funds'!$J$32/12,12,B93/12,K76))</f>
        <v>0</v>
      </c>
      <c r="C111" s="826">
        <f>IF('Part III A-Sources of Funds'!$H$32="","",-FV('Part III A-Sources of Funds'!$J$32/12,12,C93/12,B111))</f>
        <v>0</v>
      </c>
      <c r="D111" s="826">
        <f>IF('Part III A-Sources of Funds'!$H$32="","",-FV('Part III A-Sources of Funds'!$J$32/12,12,D93/12,C111))</f>
        <v>0</v>
      </c>
      <c r="E111" s="826">
        <f>IF('Part III A-Sources of Funds'!$H$32="","",-FV('Part III A-Sources of Funds'!$J$32/12,12,E93/12,D111))</f>
        <v>0</v>
      </c>
      <c r="F111" s="826">
        <f>IF('Part III A-Sources of Funds'!$H$32="","",-FV('Part III A-Sources of Funds'!$J$32/12,12,F93/12,E111))</f>
        <v>0</v>
      </c>
      <c r="G111" s="826">
        <f>IF('Part III A-Sources of Funds'!$H$32="","",-FV('Part III A-Sources of Funds'!$J$32/12,12,G93/12,F111))</f>
        <v>0</v>
      </c>
      <c r="H111" s="826">
        <f>IF('Part III A-Sources of Funds'!$H$32="","",-FV('Part III A-Sources of Funds'!$J$32/12,12,H93/12,G111))</f>
        <v>0</v>
      </c>
      <c r="I111" s="826">
        <f>IF('Part III A-Sources of Funds'!$H$32="","",-FV('Part III A-Sources of Funds'!$J$32/12,12,I93/12,H111))</f>
        <v>0</v>
      </c>
      <c r="J111" s="826">
        <f>IF('Part III A-Sources of Funds'!$H$32="","",-FV('Part III A-Sources of Funds'!$J$32/12,12,J93/12,I111))</f>
        <v>0</v>
      </c>
      <c r="K111" s="826">
        <f>IF('Part III A-Sources of Funds'!$H$32="","",-FV('Part III A-Sources of Funds'!$J$32/12,12,K93/12,J111))</f>
        <v>0</v>
      </c>
    </row>
    <row r="112" spans="1:11" ht="13.2" customHeight="1">
      <c r="A112" s="24" t="str">
        <f>IF('Part III A-Sources of Funds'!$E$32 = "Neither", "First Mortgage Balance", "Second Mortgage Balance")</f>
        <v>First Mortgage Balance</v>
      </c>
      <c r="B112" s="823">
        <f>IF('Part III A-Sources of Funds'!$H$33="","",-FV('Part III A-Sources of Funds'!$J$33/12,12,B95/12,K77))</f>
        <v>698811.55190935824</v>
      </c>
      <c r="C112" s="823">
        <f>IF('Part III A-Sources of Funds'!$H$33="","",-FV('Part III A-Sources of Funds'!$J$33/12,12,C95/12,B112))</f>
        <v>672063.2925011809</v>
      </c>
      <c r="D112" s="823">
        <f>IF('Part III A-Sources of Funds'!$H$33="","",-FV('Part III A-Sources of Funds'!$J$33/12,12,D95/12,C112))</f>
        <v>645046.32112518884</v>
      </c>
      <c r="E112" s="823">
        <f>IF('Part III A-Sources of Funds'!$H$33="","",-FV('Part III A-Sources of Funds'!$J$33/12,12,E95/12,D112))</f>
        <v>617757.93831146345</v>
      </c>
      <c r="F112" s="823">
        <f>IF('Part III A-Sources of Funds'!$H$33="","",-FV('Part III A-Sources of Funds'!$J$33/12,12,F95/12,E112))</f>
        <v>590195.41747131699</v>
      </c>
      <c r="G112" s="823">
        <f>IF('Part III A-Sources of Funds'!$H$33="","",-FV('Part III A-Sources of Funds'!$J$33/12,12,G95/12,F112))</f>
        <v>562356.00462485838</v>
      </c>
      <c r="H112" s="823">
        <f>IF('Part III A-Sources of Funds'!$H$33="","",-FV('Part III A-Sources of Funds'!$J$33/12,12,H95/12,G112))</f>
        <v>534236.91812582209</v>
      </c>
      <c r="I112" s="823">
        <f>IF('Part III A-Sources of Funds'!$H$33="","",-FV('Part III A-Sources of Funds'!$J$33/12,12,I95/12,H112))</f>
        <v>505835.34838363325</v>
      </c>
      <c r="J112" s="823">
        <f>IF('Part III A-Sources of Funds'!$H$33="","",-FV('Part III A-Sources of Funds'!$J$33/12,12,J95/12,I112))</f>
        <v>477148.45758267981</v>
      </c>
      <c r="K112" s="823">
        <f>IF('Part III A-Sources of Funds'!$H$33="","",-FV('Part III A-Sources of Funds'!$J$33/12,12,K95/12,J112))</f>
        <v>448173.37939876516</v>
      </c>
    </row>
    <row r="113" spans="1:11" ht="13.2" customHeight="1">
      <c r="A113" s="24" t="str">
        <f>IF('Part III A-Sources of Funds'!$E$32 = "Neither", "Second Mortgage Balance", "Third Mortgage Balance")</f>
        <v>Second Mortgage Balance</v>
      </c>
      <c r="B113" s="823" t="str">
        <f>IF('Part III A-Sources of Funds'!$H$34="","",-FV('Part III A-Sources of Funds'!$J$34/12,12,B96/12,K78))</f>
        <v/>
      </c>
      <c r="C113" s="823" t="str">
        <f>IF('Part III A-Sources of Funds'!$H$34="","",-FV('Part III A-Sources of Funds'!$J$34/12,12,C96/12,B113))</f>
        <v/>
      </c>
      <c r="D113" s="823" t="str">
        <f>IF('Part III A-Sources of Funds'!$H$34="","",-FV('Part III A-Sources of Funds'!$J$34/12,12,D96/12,C113))</f>
        <v/>
      </c>
      <c r="E113" s="823" t="str">
        <f>IF('Part III A-Sources of Funds'!$H$34="","",-FV('Part III A-Sources of Funds'!$J$34/12,12,E96/12,D113))</f>
        <v/>
      </c>
      <c r="F113" s="823" t="str">
        <f>IF('Part III A-Sources of Funds'!$H$34="","",-FV('Part III A-Sources of Funds'!$J$34/12,12,F96/12,E113))</f>
        <v/>
      </c>
      <c r="G113" s="823" t="str">
        <f>IF('Part III A-Sources of Funds'!$H$34="","",-FV('Part III A-Sources of Funds'!$J$34/12,12,G96/12,F113))</f>
        <v/>
      </c>
      <c r="H113" s="823" t="str">
        <f>IF('Part III A-Sources of Funds'!$H$34="","",-FV('Part III A-Sources of Funds'!$J$34/12,12,H96/12,G113))</f>
        <v/>
      </c>
      <c r="I113" s="823" t="str">
        <f>IF('Part III A-Sources of Funds'!$H$34="","",-FV('Part III A-Sources of Funds'!$J$34/12,12,I96/12,H113))</f>
        <v/>
      </c>
      <c r="J113" s="823" t="str">
        <f>IF('Part III A-Sources of Funds'!$H$34="","",-FV('Part III A-Sources of Funds'!$J$34/12,12,J96/12,I113))</f>
        <v/>
      </c>
      <c r="K113" s="823" t="str">
        <f>IF('Part III A-Sources of Funds'!$H$34="","",-FV('Part III A-Sources of Funds'!$J$34/12,12,K96/12,J113))</f>
        <v/>
      </c>
    </row>
    <row r="114" spans="1:11" ht="13.2" customHeight="1">
      <c r="A114" s="24" t="s">
        <v>1363</v>
      </c>
      <c r="B114" s="823" t="str">
        <f>IF('Part III A-Sources of Funds'!$H$35="","",-FV('Part III A-Sources of Funds'!$J$35/12,12,B97/12,K79))</f>
        <v/>
      </c>
      <c r="C114" s="823" t="str">
        <f>IF('Part III A-Sources of Funds'!$H$35="","",-FV('Part III A-Sources of Funds'!$J$35/12,12,C97/12,B114))</f>
        <v/>
      </c>
      <c r="D114" s="823" t="str">
        <f>IF('Part III A-Sources of Funds'!$H$35="","",-FV('Part III A-Sources of Funds'!$J$35/12,12,D97/12,C114))</f>
        <v/>
      </c>
      <c r="E114" s="823" t="str">
        <f>IF('Part III A-Sources of Funds'!$H$35="","",-FV('Part III A-Sources of Funds'!$J$35/12,12,E97/12,D114))</f>
        <v/>
      </c>
      <c r="F114" s="823" t="str">
        <f>IF('Part III A-Sources of Funds'!$H$35="","",-FV('Part III A-Sources of Funds'!$J$35/12,12,F97/12,E114))</f>
        <v/>
      </c>
      <c r="G114" s="823" t="str">
        <f>IF('Part III A-Sources of Funds'!$H$35="","",-FV('Part III A-Sources of Funds'!$J$35/12,12,G97/12,F114))</f>
        <v/>
      </c>
      <c r="H114" s="823" t="str">
        <f>IF('Part III A-Sources of Funds'!$H$35="","",-FV('Part III A-Sources of Funds'!$J$35/12,12,H97/12,G114))</f>
        <v/>
      </c>
      <c r="I114" s="823" t="str">
        <f>IF('Part III A-Sources of Funds'!$H$35="","",-FV('Part III A-Sources of Funds'!$J$35/12,12,I97/12,H114))</f>
        <v/>
      </c>
      <c r="J114" s="823" t="str">
        <f>IF('Part III A-Sources of Funds'!$H$35="","",-FV('Part III A-Sources of Funds'!$J$35/12,12,J97/12,I114))</f>
        <v/>
      </c>
      <c r="K114" s="823" t="str">
        <f>IF('Part III A-Sources of Funds'!$H$35="","",-FV('Part III A-Sources of Funds'!$J$35/12,12,K97/12,J114))</f>
        <v/>
      </c>
    </row>
    <row r="115" spans="1:11" ht="13.2" customHeight="1">
      <c r="A115" s="24" t="s">
        <v>1363</v>
      </c>
      <c r="B115" s="823" t="str">
        <f>IF('Part III A-Sources of Funds'!$H$36="","",-FV('Part III A-Sources of Funds'!$J$36/12,12,B98/12,K80))</f>
        <v/>
      </c>
      <c r="C115" s="823" t="str">
        <f>IF('Part III A-Sources of Funds'!$H$36="","",-FV('Part III A-Sources of Funds'!$J$36/12,12,C98/12,B115))</f>
        <v/>
      </c>
      <c r="D115" s="823" t="str">
        <f>IF('Part III A-Sources of Funds'!$H$36="","",-FV('Part III A-Sources of Funds'!$J$36/12,12,D98/12,C115))</f>
        <v/>
      </c>
      <c r="E115" s="823" t="str">
        <f>IF('Part III A-Sources of Funds'!$H$36="","",-FV('Part III A-Sources of Funds'!$J$36/12,12,E98/12,D115))</f>
        <v/>
      </c>
      <c r="F115" s="823" t="str">
        <f>IF('Part III A-Sources of Funds'!$H$36="","",-FV('Part III A-Sources of Funds'!$J$36/12,12,F98/12,E115))</f>
        <v/>
      </c>
      <c r="G115" s="823" t="str">
        <f>IF('Part III A-Sources of Funds'!$H$36="","",-FV('Part III A-Sources of Funds'!$J$36/12,12,G98/12,F115))</f>
        <v/>
      </c>
      <c r="H115" s="823" t="str">
        <f>IF('Part III A-Sources of Funds'!$H$36="","",-FV('Part III A-Sources of Funds'!$J$36/12,12,H98/12,G115))</f>
        <v/>
      </c>
      <c r="I115" s="823" t="str">
        <f>IF('Part III A-Sources of Funds'!$H$36="","",-FV('Part III A-Sources of Funds'!$J$36/12,12,I98/12,H115))</f>
        <v/>
      </c>
      <c r="J115" s="823" t="str">
        <f>IF('Part III A-Sources of Funds'!$H$36="","",-FV('Part III A-Sources of Funds'!$J$36/12,12,J98/12,I115))</f>
        <v/>
      </c>
      <c r="K115" s="823" t="str">
        <f>IF('Part III A-Sources of Funds'!$H$36="","",-FV('Part III A-Sources of Funds'!$J$36/12,12,K98/12,J115))</f>
        <v/>
      </c>
    </row>
    <row r="116" spans="1:11" ht="13.2" customHeight="1">
      <c r="A116" s="29" t="s">
        <v>1898</v>
      </c>
      <c r="B116" s="825">
        <f>IF('Part III A-Sources of Funds'!$H$37="","",-FV('Part III A-Sources of Funds'!$J$37/12,12,B101/12,K81))</f>
        <v>0</v>
      </c>
      <c r="C116" s="825">
        <f>IF('Part III A-Sources of Funds'!$H$37="","",-FV('Part III A-Sources of Funds'!$J$37/12,12,C101/12,B116))</f>
        <v>0</v>
      </c>
      <c r="D116" s="825">
        <f>IF('Part III A-Sources of Funds'!$H$37="","",-FV('Part III A-Sources of Funds'!$J$37/12,12,D101/12,C116))</f>
        <v>0</v>
      </c>
      <c r="E116" s="825">
        <f>IF('Part III A-Sources of Funds'!$H$37="","",-FV('Part III A-Sources of Funds'!$J$37/12,12,E101/12,D116))</f>
        <v>0</v>
      </c>
      <c r="F116" s="825">
        <f>IF('Part III A-Sources of Funds'!$H$37="","",-FV('Part III A-Sources of Funds'!$J$37/12,12,F101/12,E116))</f>
        <v>0</v>
      </c>
      <c r="G116" s="825">
        <f>IF('Part III A-Sources of Funds'!$H$37="","",-FV('Part III A-Sources of Funds'!$J$37/12,12,G101/12,F116))</f>
        <v>0</v>
      </c>
      <c r="H116" s="825">
        <f>IF('Part III A-Sources of Funds'!$H$37="","",-FV('Part III A-Sources of Funds'!$J$37/12,12,H101/12,G116))</f>
        <v>0</v>
      </c>
      <c r="I116" s="825">
        <f>IF('Part III A-Sources of Funds'!$H$37="","",-FV('Part III A-Sources of Funds'!$J$37/12,12,I101/12,H116))</f>
        <v>0</v>
      </c>
      <c r="J116" s="825">
        <f>IF('Part III A-Sources of Funds'!$H$37="","",-FV('Part III A-Sources of Funds'!$J$37/12,12,J101/12,I116))</f>
        <v>0</v>
      </c>
      <c r="K116" s="825">
        <f>IF('Part III A-Sources of Funds'!$H$37="","",-FV('Part III A-Sources of Funds'!$J$37/12,12,K101/12,J116))</f>
        <v>0</v>
      </c>
    </row>
    <row r="117" spans="1:11" ht="4.2" customHeight="1">
      <c r="B117" s="20"/>
      <c r="C117" s="20"/>
      <c r="D117" s="20"/>
      <c r="E117" s="20"/>
      <c r="F117" s="20"/>
      <c r="G117" s="20"/>
      <c r="H117" s="20"/>
      <c r="I117" s="20"/>
      <c r="J117" s="20"/>
      <c r="K117" s="20"/>
    </row>
    <row r="118" spans="1:11" ht="14.4" customHeight="1">
      <c r="A118" s="16" t="s">
        <v>3752</v>
      </c>
      <c r="B118" s="18">
        <f>K83+1</f>
        <v>31</v>
      </c>
      <c r="C118" s="18">
        <f>B118+1</f>
        <v>32</v>
      </c>
      <c r="D118" s="18">
        <f>C118+1</f>
        <v>33</v>
      </c>
      <c r="E118" s="18">
        <f>D118+1</f>
        <v>34</v>
      </c>
      <c r="F118" s="18">
        <f>E118+1</f>
        <v>35</v>
      </c>
      <c r="G118" s="31"/>
      <c r="H118" s="31"/>
      <c r="I118" s="31"/>
      <c r="J118" s="31"/>
      <c r="K118" s="31"/>
    </row>
    <row r="119" spans="1:11" ht="13.2" customHeight="1">
      <c r="A119" s="21" t="s">
        <v>3641</v>
      </c>
      <c r="B119" s="22">
        <f>$B$14*(1+$B$5)^(B118-1)</f>
        <v>414903.23900837771</v>
      </c>
      <c r="C119" s="22">
        <f>$B$14*(1+$B$5)^(C118-1)</f>
        <v>423201.30378854519</v>
      </c>
      <c r="D119" s="22">
        <f>$B$14*(1+$B$5)^(D118-1)</f>
        <v>431665.32986431615</v>
      </c>
      <c r="E119" s="22">
        <f>$B$14*(1+$B$5)^(E118-1)</f>
        <v>440298.63646160252</v>
      </c>
      <c r="F119" s="23">
        <f>$B$14*(1+$B$5)^(F118-1)</f>
        <v>449104.60919083457</v>
      </c>
      <c r="G119" s="31"/>
      <c r="H119" s="31"/>
      <c r="I119" s="31"/>
      <c r="J119" s="31"/>
      <c r="K119" s="31"/>
    </row>
    <row r="120" spans="1:11" ht="13.2" customHeight="1">
      <c r="A120" s="24" t="s">
        <v>1631</v>
      </c>
      <c r="B120" s="25">
        <f>$B$15*(1+$B$5)^(B118-1)</f>
        <v>8298.064780167555</v>
      </c>
      <c r="C120" s="25">
        <f>$B$15*(1+$B$5)^(C118-1)</f>
        <v>8464.0260757709038</v>
      </c>
      <c r="D120" s="25">
        <f>$B$15*(1+$B$5)^(D118-1)</f>
        <v>8633.3065972863242</v>
      </c>
      <c r="E120" s="25">
        <f>$B$15*(1+$B$5)^(E118-1)</f>
        <v>8805.9727292320513</v>
      </c>
      <c r="F120" s="26">
        <f>$B$15*(1+$B$5)^(F118-1)</f>
        <v>8982.0921838166905</v>
      </c>
      <c r="G120" s="31"/>
      <c r="H120" s="31"/>
      <c r="I120" s="31"/>
      <c r="J120" s="31"/>
      <c r="K120" s="31"/>
    </row>
    <row r="121" spans="1:11" ht="13.2" customHeight="1">
      <c r="A121" s="24" t="s">
        <v>3642</v>
      </c>
      <c r="B121" s="25">
        <f>-(B119+B120)*$B$8</f>
        <v>-29624.091265198171</v>
      </c>
      <c r="C121" s="25">
        <f>-(C119+C120)*$B$8</f>
        <v>-30216.57309050213</v>
      </c>
      <c r="D121" s="25">
        <f>-(D119+D120)*$B$8</f>
        <v>-30820.904552312175</v>
      </c>
      <c r="E121" s="25">
        <f>-(E119+E120)*$B$8</f>
        <v>-31437.322643358424</v>
      </c>
      <c r="F121" s="26">
        <f>-(F119+F120)*$B$8</f>
        <v>-32066.069096225594</v>
      </c>
      <c r="G121" s="31"/>
      <c r="H121" s="31"/>
      <c r="I121" s="31"/>
      <c r="J121" s="31"/>
      <c r="K121" s="31"/>
    </row>
    <row r="122" spans="1:11" ht="13.2" customHeight="1">
      <c r="A122" s="24" t="s">
        <v>61</v>
      </c>
      <c r="B122" s="827"/>
      <c r="C122" s="827"/>
      <c r="D122" s="827"/>
      <c r="E122" s="827"/>
      <c r="F122" s="827"/>
      <c r="G122" s="31"/>
      <c r="H122" s="31"/>
      <c r="I122" s="31"/>
      <c r="J122" s="31"/>
      <c r="K122" s="31"/>
    </row>
    <row r="123" spans="1:11" ht="13.2" customHeight="1">
      <c r="A123" s="24" t="s">
        <v>62</v>
      </c>
      <c r="B123" s="827">
        <v>78500</v>
      </c>
      <c r="C123" s="827">
        <v>83500</v>
      </c>
      <c r="D123" s="827">
        <v>88750</v>
      </c>
      <c r="E123" s="827">
        <v>94250</v>
      </c>
      <c r="F123" s="827">
        <v>100000</v>
      </c>
      <c r="G123" s="31"/>
      <c r="H123" s="31"/>
      <c r="I123" s="31"/>
      <c r="J123" s="31"/>
      <c r="K123" s="31"/>
    </row>
    <row r="124" spans="1:11" ht="13.2" customHeight="1">
      <c r="A124" s="24" t="s">
        <v>947</v>
      </c>
      <c r="B124" s="25">
        <f>$B$19*(1+$B$6)^(B118-1)</f>
        <v>-333605.38130277791</v>
      </c>
      <c r="C124" s="25">
        <f>$B$19*(1+$B$6)^(C118-1)</f>
        <v>-343613.54274186131</v>
      </c>
      <c r="D124" s="25">
        <f>$B$19*(1+$B$6)^(D118-1)</f>
        <v>-353921.94902411709</v>
      </c>
      <c r="E124" s="25">
        <f>$B$19*(1+$B$6)^(E118-1)</f>
        <v>-364539.60749484063</v>
      </c>
      <c r="F124" s="26">
        <f>$B$19*(1+$B$6)^(F118-1)</f>
        <v>-375475.79571968579</v>
      </c>
      <c r="G124" s="31"/>
      <c r="H124" s="31"/>
      <c r="I124" s="31"/>
      <c r="J124" s="31"/>
      <c r="K124" s="31"/>
    </row>
    <row r="125" spans="1:11" ht="13.2" customHeight="1">
      <c r="A125" s="24" t="s">
        <v>1745</v>
      </c>
      <c r="B125" s="25">
        <f>IF(AND('Part VII-Pro Forma'!$G$8="Yes",'Part VII-Pro Forma'!$G$9="Yes"),"Choose One!",IF('Part VII-Pro Forma'!$G$8="Yes",ROUND((-$K$8*(1+'Part VII-Pro Forma'!$B$6)^('Part VII-Pro Forma'!B118-1)),),IF('Part VII-Pro Forma'!$G$9="Yes",ROUND((-(SUM(B119:B122)*'Part VII-Pro Forma'!$K$9)),),"Choose mgt fee")))</f>
        <v>-54837</v>
      </c>
      <c r="C125" s="25">
        <f>IF(AND('Part VII-Pro Forma'!$G$8="Yes",'Part VII-Pro Forma'!$G$9="Yes"),"Choose One!",IF('Part VII-Pro Forma'!$G$8="Yes",ROUND((-$K$8*(1+'Part VII-Pro Forma'!$B$6)^('Part VII-Pro Forma'!C118-1)),),IF('Part VII-Pro Forma'!$G$9="Yes",ROUND((-(SUM(C119:C122)*'Part VII-Pro Forma'!$K$9)),),"Choose mgt fee")))</f>
        <v>-56482</v>
      </c>
      <c r="D125" s="25">
        <f>IF(AND('Part VII-Pro Forma'!$G$8="Yes",'Part VII-Pro Forma'!$G$9="Yes"),"Choose One!",IF('Part VII-Pro Forma'!$G$8="Yes",ROUND((-$K$8*(1+'Part VII-Pro Forma'!$B$6)^('Part VII-Pro Forma'!D118-1)),),IF('Part VII-Pro Forma'!$G$9="Yes",ROUND((-(SUM(D119:D122)*'Part VII-Pro Forma'!$K$9)),),"Choose mgt fee")))</f>
        <v>-58176</v>
      </c>
      <c r="E125" s="25">
        <f>IF(AND('Part VII-Pro Forma'!$G$8="Yes",'Part VII-Pro Forma'!$G$9="Yes"),"Choose One!",IF('Part VII-Pro Forma'!$G$8="Yes",ROUND((-$K$8*(1+'Part VII-Pro Forma'!$B$6)^('Part VII-Pro Forma'!E118-1)),),IF('Part VII-Pro Forma'!$G$9="Yes",ROUND((-(SUM(E119:E122)*'Part VII-Pro Forma'!$K$9)),),"Choose mgt fee")))</f>
        <v>-59922</v>
      </c>
      <c r="F125" s="25">
        <f>IF(AND('Part VII-Pro Forma'!$G$8="Yes",'Part VII-Pro Forma'!$G$9="Yes"),"Choose One!",IF('Part VII-Pro Forma'!$G$8="Yes",ROUND((-$K$8*(1+'Part VII-Pro Forma'!$B$6)^('Part VII-Pro Forma'!F118-1)),),IF('Part VII-Pro Forma'!$G$9="Yes",ROUND((-(SUM(F119:F122)*'Part VII-Pro Forma'!$K$9)),),"Choose mgt fee")))</f>
        <v>-61719</v>
      </c>
      <c r="G125" s="31"/>
      <c r="H125" s="31"/>
      <c r="I125" s="31"/>
      <c r="J125" s="31"/>
      <c r="K125" s="31"/>
    </row>
    <row r="126" spans="1:11" ht="13.2" customHeight="1">
      <c r="A126" s="24" t="s">
        <v>1861</v>
      </c>
      <c r="B126" s="25">
        <f>$B$21*(1+$B$7)^(B118-1)</f>
        <v>-41627.551380902652</v>
      </c>
      <c r="C126" s="25">
        <f>$B$21*(1+$B$7)^(C118-1)</f>
        <v>-42876.377922329739</v>
      </c>
      <c r="D126" s="25">
        <f>$B$21*(1+$B$7)^(D118-1)</f>
        <v>-44162.669259999624</v>
      </c>
      <c r="E126" s="25">
        <f>$B$21*(1+$B$7)^(E118-1)</f>
        <v>-45487.549337799617</v>
      </c>
      <c r="F126" s="26">
        <f>$B$21*(1+$B$7)^(F118-1)</f>
        <v>-46852.175817933596</v>
      </c>
      <c r="G126" s="31"/>
      <c r="H126" s="31"/>
      <c r="I126" s="31"/>
      <c r="J126" s="31"/>
      <c r="K126" s="31"/>
    </row>
    <row r="127" spans="1:11" ht="13.2" customHeight="1">
      <c r="A127" s="24" t="s">
        <v>1862</v>
      </c>
      <c r="B127" s="25">
        <f>SUM(B119:B126)</f>
        <v>42007.279839666495</v>
      </c>
      <c r="C127" s="25">
        <f>SUM(C119:C126)</f>
        <v>41976.836109622927</v>
      </c>
      <c r="D127" s="25">
        <f>SUM(D119:D126)</f>
        <v>41967.113625173595</v>
      </c>
      <c r="E127" s="25">
        <f>SUM(E119:E126)</f>
        <v>41968.129714835886</v>
      </c>
      <c r="F127" s="26">
        <f>SUM(F119:F126)</f>
        <v>41973.660740806234</v>
      </c>
      <c r="G127" s="31"/>
      <c r="H127" s="31"/>
      <c r="I127" s="31"/>
      <c r="J127" s="31"/>
      <c r="K127" s="31"/>
    </row>
    <row r="128" spans="1:11" ht="13.2" customHeight="1">
      <c r="A128" s="24" t="str">
        <f t="shared" ref="A128:A133" si="54">$A93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4"/>
        <v>D/S Mortgage A</v>
      </c>
      <c r="B130" s="823">
        <f>IF('Part III A-Sources of Funds'!$M$33="", 0,-'Part III A-Sources of Funds'!$M$33)</f>
        <v>-33614</v>
      </c>
      <c r="C130" s="823">
        <f>IF('Part III A-Sources of Funds'!$M$33="", 0,-'Part III A-Sources of Funds'!$M$33)</f>
        <v>-33614</v>
      </c>
      <c r="D130" s="823">
        <f>IF('Part III A-Sources of Funds'!$M$33="", 0,-'Part III A-Sources of Funds'!$M$33)</f>
        <v>-33614</v>
      </c>
      <c r="E130" s="823">
        <f>IF('Part III A-Sources of Funds'!$M$33="", 0,-'Part III A-Sources of Funds'!$M$33)</f>
        <v>-33614</v>
      </c>
      <c r="F130" s="823">
        <f>IF('Part III A-Sources of Funds'!$M$33="", 0,-'Part III A-Sources of Funds'!$M$33)</f>
        <v>-33614</v>
      </c>
      <c r="G130" s="31"/>
      <c r="H130" s="31"/>
      <c r="I130" s="31"/>
      <c r="J130" s="31"/>
      <c r="K130" s="31"/>
    </row>
    <row r="131" spans="1:12" ht="13.2" customHeight="1">
      <c r="A131" s="24" t="str">
        <f t="shared" si="54"/>
        <v>D/S Mortgage B</v>
      </c>
      <c r="B131" s="823">
        <f>IF('Part III A-Sources of Funds'!$M$34="", 0,-'Part III A-Sources of Funds'!$M$34)</f>
        <v>0</v>
      </c>
      <c r="C131" s="823">
        <f>IF('Part III A-Sources of Funds'!$M$34="", 0,-'Part III A-Sources of Funds'!$M$34)</f>
        <v>0</v>
      </c>
      <c r="D131" s="823">
        <f>IF('Part III A-Sources of Funds'!$M$34="", 0,-'Part III A-Sources of Funds'!$M$34)</f>
        <v>0</v>
      </c>
      <c r="E131" s="823">
        <f>IF('Part III A-Sources of Funds'!$M$34="", 0,-'Part III A-Sources of Funds'!$M$34)</f>
        <v>0</v>
      </c>
      <c r="F131" s="823">
        <f>IF('Part III A-Sources of Funds'!$M$34="", 0,-'Part III A-Sources of Funds'!$M$34)</f>
        <v>0</v>
      </c>
      <c r="G131" s="31"/>
      <c r="H131" s="31"/>
      <c r="I131" s="31"/>
      <c r="J131" s="31"/>
      <c r="K131" s="31"/>
    </row>
    <row r="132" spans="1:12" ht="13.2" customHeight="1">
      <c r="A132" s="24" t="str">
        <f t="shared" si="54"/>
        <v>D/S Other Source</v>
      </c>
      <c r="B132" s="823">
        <f>IF('Part III A-Sources of Funds'!$M$35="", 0,-'Part III A-Sources of Funds'!$M$35)</f>
        <v>0</v>
      </c>
      <c r="C132" s="823">
        <f>IF('Part III A-Sources of Funds'!$M$35="", 0,-'Part III A-Sources of Funds'!$M$35)</f>
        <v>0</v>
      </c>
      <c r="D132" s="823">
        <f>IF('Part III A-Sources of Funds'!$M$35="", 0,-'Part III A-Sources of Funds'!$M$35)</f>
        <v>0</v>
      </c>
      <c r="E132" s="823">
        <f>IF('Part III A-Sources of Funds'!$M$35="", 0,-'Part III A-Sources of Funds'!$M$35)</f>
        <v>0</v>
      </c>
      <c r="F132" s="823">
        <f>IF('Part III A-Sources of Funds'!$M$35="", 0,-'Part III A-Sources of Funds'!$M$35)</f>
        <v>0</v>
      </c>
      <c r="G132" s="31"/>
      <c r="H132" s="31"/>
      <c r="I132" s="31"/>
      <c r="J132" s="31"/>
      <c r="K132" s="31"/>
    </row>
    <row r="133" spans="1:12" ht="13.2" customHeight="1">
      <c r="A133" s="24" t="str">
        <f t="shared" si="54"/>
        <v>D/S Grant from fdn / charity</v>
      </c>
      <c r="B133" s="823">
        <f>IF('Part III A-Sources of Funds'!$M$36="", 0,-'Part III A-Sources of Funds'!$M$36)</f>
        <v>0</v>
      </c>
      <c r="C133" s="823">
        <f>IF('Part III A-Sources of Funds'!$M$36="", 0,-'Part III A-Sources of Funds'!$M$36)</f>
        <v>0</v>
      </c>
      <c r="D133" s="823">
        <f>IF('Part III A-Sources of Funds'!$M$36="", 0,-'Part III A-Sources of Funds'!$M$36)</f>
        <v>0</v>
      </c>
      <c r="E133" s="823">
        <f>IF('Part III A-Sources of Funds'!$M$36="", 0,-'Part III A-Sources of Funds'!$M$36)</f>
        <v>0</v>
      </c>
      <c r="F133" s="823">
        <f>IF('Part III A-Sources of Funds'!$M$36="", 0,-'Part III A-Sources of Funds'!$M$36)</f>
        <v>0</v>
      </c>
      <c r="G133" s="31"/>
      <c r="H133" s="31"/>
      <c r="I133" s="31"/>
      <c r="J133" s="31"/>
      <c r="K133" s="31"/>
    </row>
    <row r="134" spans="1:12" ht="13.2" customHeight="1">
      <c r="A134" s="24" t="s">
        <v>1335</v>
      </c>
      <c r="B134" s="824"/>
      <c r="C134" s="824"/>
      <c r="D134" s="824"/>
      <c r="E134" s="824"/>
      <c r="F134" s="824"/>
      <c r="G134" s="31"/>
      <c r="H134" s="31"/>
      <c r="I134" s="31"/>
      <c r="J134" s="31"/>
      <c r="K134" s="31"/>
    </row>
    <row r="135" spans="1:12" ht="13.2" customHeight="1">
      <c r="A135" s="24" t="s">
        <v>1806</v>
      </c>
      <c r="B135" s="823">
        <f>+K100</f>
        <v>0</v>
      </c>
      <c r="C135" s="823">
        <f>+B135</f>
        <v>0</v>
      </c>
      <c r="D135" s="823">
        <f>+C135</f>
        <v>0</v>
      </c>
      <c r="E135" s="823">
        <f>+D135</f>
        <v>0</v>
      </c>
      <c r="F135" s="823">
        <f>+E135</f>
        <v>0</v>
      </c>
      <c r="G135" s="31"/>
      <c r="H135" s="31"/>
      <c r="I135" s="31"/>
      <c r="J135" s="31"/>
      <c r="K135" s="31"/>
    </row>
    <row r="136" spans="1:12" ht="13.2" customHeight="1">
      <c r="A136" s="24" t="s">
        <v>1863</v>
      </c>
      <c r="B136" s="823"/>
      <c r="C136" s="823"/>
      <c r="D136" s="823"/>
      <c r="E136" s="823"/>
      <c r="F136" s="823"/>
      <c r="G136" s="31"/>
      <c r="H136" s="31"/>
      <c r="I136" s="31"/>
      <c r="J136" s="31"/>
      <c r="K136" s="31"/>
    </row>
    <row r="137" spans="1:12" ht="13.2" customHeight="1">
      <c r="A137" s="24" t="s">
        <v>1807</v>
      </c>
      <c r="B137" s="825">
        <f>+K102</f>
        <v>0</v>
      </c>
      <c r="C137" s="825">
        <f>+B137</f>
        <v>0</v>
      </c>
      <c r="D137" s="825">
        <f>+C137</f>
        <v>0</v>
      </c>
      <c r="E137" s="825">
        <f>+D137</f>
        <v>0</v>
      </c>
      <c r="F137" s="825">
        <f>+E137</f>
        <v>0</v>
      </c>
      <c r="G137" s="31"/>
      <c r="H137" s="31"/>
      <c r="I137" s="31"/>
      <c r="J137" s="31"/>
      <c r="K137" s="31"/>
    </row>
    <row r="138" spans="1:12" ht="13.2" customHeight="1">
      <c r="A138" s="24" t="s">
        <v>1808</v>
      </c>
      <c r="B138" s="25">
        <f>SUM(B127:B137)</f>
        <v>8393.2798396664948</v>
      </c>
      <c r="C138" s="25">
        <f>SUM(C127:C137)</f>
        <v>8362.8361096229273</v>
      </c>
      <c r="D138" s="25">
        <f>SUM(D127:D137)</f>
        <v>8353.1136251735952</v>
      </c>
      <c r="E138" s="25">
        <f>SUM(E127:E137)</f>
        <v>8354.1297148358863</v>
      </c>
      <c r="F138" s="26">
        <f>SUM(F127:F137)</f>
        <v>8359.6607408062337</v>
      </c>
      <c r="G138" s="31"/>
      <c r="H138" s="31"/>
      <c r="I138" s="31"/>
      <c r="J138" s="31"/>
      <c r="K138" s="31"/>
    </row>
    <row r="139" spans="1:12" ht="13.2" customHeight="1">
      <c r="A139" s="24" t="str">
        <f t="shared" ref="A139:A144" si="55">$A104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5"/>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5"/>
        <v>DCR First Mortgage</v>
      </c>
      <c r="B141" s="27">
        <f>IF(OR(B130=0,AND(B130=0,B129=0,B128=0)),"",-B127/(B128+B129+B130))</f>
        <v>1.2496959552468168</v>
      </c>
      <c r="C141" s="27">
        <f>IF(OR(C130=0,AND(C130=0,C129=0,C128=0)),"",-C127/(C128+C129+C130))</f>
        <v>1.24879026922184</v>
      </c>
      <c r="D141" s="27">
        <f>IF(OR(D130=0,AND(D130=0,D129=0,D128=0)),"",-D127/(D128+D129+D130))</f>
        <v>1.2485010300819182</v>
      </c>
      <c r="E141" s="27">
        <f>IF(OR(E130=0,AND(E130=0,E129=0,E128=0)),"",-E127/(E128+E129+E130))</f>
        <v>1.2485312582506065</v>
      </c>
      <c r="F141" s="28">
        <f>IF(OR(F130=0,AND(F130=0,F129=0,F128=0)),"",-F127/(F128+F129+F130))</f>
        <v>1.2486958035582267</v>
      </c>
      <c r="G141" s="31"/>
      <c r="H141" s="31"/>
      <c r="I141" s="31"/>
      <c r="J141" s="31"/>
      <c r="K141" s="31"/>
    </row>
    <row r="142" spans="1:12" ht="13.2" customHeight="1">
      <c r="A142" s="24" t="str">
        <f t="shared" si="55"/>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1344</v>
      </c>
      <c r="B145" s="379">
        <f>IF(OR(B125="Choose mgt fee",B125="Choose One!"),"",(B119+B120+B121+B122+B123) / -(B124+B125+B126))</f>
        <v>1.0976754630986099</v>
      </c>
      <c r="C145" s="379">
        <f>IF(OR(C125="Choose mgt fee",C125="Choose One!"),"",(C119+C120+C121+C122+C123) / -(C124+C125+C126))</f>
        <v>1.0947618441518436</v>
      </c>
      <c r="D145" s="379">
        <f>IF(OR(D125="Choose mgt fee",D125="Choose One!"),"",(D119+D120+D121+D122+D123) / -(D124+D125+D126))</f>
        <v>1.0919805741354611</v>
      </c>
      <c r="E145" s="379">
        <f>IF(OR(E125="Choose mgt fee",E125="Choose One!"),"",(E119+E120+E121+E122+E123) / -(E124+E125+E126))</f>
        <v>1.0893035535965048</v>
      </c>
      <c r="F145" s="380">
        <f>IF(OR(F125="Choose mgt fee",F125="Choose One!"),"",(F119+F120+F121+F122+F123) / -(F124+F125+F126))</f>
        <v>1.0867140240697573</v>
      </c>
      <c r="G145" s="31"/>
      <c r="H145" s="31"/>
      <c r="I145" s="31"/>
      <c r="J145" s="31"/>
      <c r="K145" s="31"/>
    </row>
    <row r="146" spans="1:14" ht="13.2" customHeight="1">
      <c r="A146" s="24" t="str">
        <f>IF('Part III A-Sources of Funds'!$E$32 = "Neither", "", "First Mortgage Balance")</f>
        <v/>
      </c>
      <c r="B146" s="826">
        <f>IF('Part III A-Sources of Funds'!$H$32="","",-FV('Part III A-Sources of Funds'!$J$32/12,12,B128/12,K111))</f>
        <v>0</v>
      </c>
      <c r="C146" s="826">
        <f>IF('Part III A-Sources of Funds'!$H$32="","",-FV('Part III A-Sources of Funds'!$J$32/12,12,C128/12,B146))</f>
        <v>0</v>
      </c>
      <c r="D146" s="826">
        <f>IF('Part III A-Sources of Funds'!$H$32="","",-FV('Part III A-Sources of Funds'!$J$32/12,12,D128/12,C146))</f>
        <v>0</v>
      </c>
      <c r="E146" s="826">
        <f>IF('Part III A-Sources of Funds'!$H$32="","",-FV('Part III A-Sources of Funds'!$J$32/12,12,E128/12,D146))</f>
        <v>0</v>
      </c>
      <c r="F146" s="826">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23">
        <f>IF('Part III A-Sources of Funds'!$H$33="","",-FV('Part III A-Sources of Funds'!$J$33/12,12,B130/12,K112))</f>
        <v>418907.21871271194</v>
      </c>
      <c r="C147" s="823">
        <f>IF('Part III A-Sources of Funds'!$H$33="","",-FV('Part III A-Sources of Funds'!$J$33/12,12,C130/12,B147))</f>
        <v>389347.05132108869</v>
      </c>
      <c r="D147" s="823">
        <f>IF('Part III A-Sources of Funds'!$H$33="","",-FV('Part III A-Sources of Funds'!$J$33/12,12,D130/12,C147))</f>
        <v>359489.92364403064</v>
      </c>
      <c r="E147" s="823">
        <f>IF('Part III A-Sources of Funds'!$H$33="","",-FV('Part III A-Sources of Funds'!$J$33/12,12,E130/12,D147))</f>
        <v>329332.85243012535</v>
      </c>
      <c r="F147" s="823">
        <f>IF('Part III A-Sources of Funds'!$H$33="","",-FV('Part III A-Sources of Funds'!$J$33/12,12,F130/12,E147))</f>
        <v>298872.8244583332</v>
      </c>
      <c r="G147" s="31"/>
      <c r="H147" s="31"/>
      <c r="I147" s="31"/>
      <c r="J147" s="31"/>
      <c r="K147" s="31"/>
    </row>
    <row r="148" spans="1:14" ht="13.2" customHeight="1">
      <c r="A148" s="24" t="str">
        <f>IF('Part III A-Sources of Funds'!$E$32 = "Neither", "Second Mortgage Balance", "Third Mortgage Balance")</f>
        <v>Second Mortgage Balance</v>
      </c>
      <c r="B148" s="823" t="str">
        <f>IF('Part III A-Sources of Funds'!$H$34="","",-FV('Part III A-Sources of Funds'!$J$34/12,12,B131/12,K113))</f>
        <v/>
      </c>
      <c r="C148" s="823" t="str">
        <f>IF('Part III A-Sources of Funds'!$H$34="","",-FV('Part III A-Sources of Funds'!$J$34/12,12,C131/12,B148))</f>
        <v/>
      </c>
      <c r="D148" s="823" t="str">
        <f>IF('Part III A-Sources of Funds'!$H$34="","",-FV('Part III A-Sources of Funds'!$J$34/12,12,D131/12,C148))</f>
        <v/>
      </c>
      <c r="E148" s="823" t="str">
        <f>IF('Part III A-Sources of Funds'!$H$34="","",-FV('Part III A-Sources of Funds'!$J$34/12,12,E131/12,D148))</f>
        <v/>
      </c>
      <c r="F148" s="823" t="str">
        <f>IF('Part III A-Sources of Funds'!$H$34="","",-FV('Part III A-Sources of Funds'!$J$34/12,12,F131/12,E148))</f>
        <v/>
      </c>
      <c r="G148" s="31"/>
      <c r="H148" s="31"/>
      <c r="I148" s="31"/>
      <c r="J148" s="31"/>
      <c r="K148" s="31"/>
    </row>
    <row r="149" spans="1:14" ht="13.2" customHeight="1">
      <c r="A149" s="24" t="s">
        <v>1363</v>
      </c>
      <c r="B149" s="823" t="str">
        <f>IF('Part III A-Sources of Funds'!$H$35="","",-FV('Part III A-Sources of Funds'!$J$35/12,12,B132/12,K114))</f>
        <v/>
      </c>
      <c r="C149" s="823" t="str">
        <f>IF('Part III A-Sources of Funds'!$H$35="","",-FV('Part III A-Sources of Funds'!$J$35/12,12,C132/12,B149))</f>
        <v/>
      </c>
      <c r="D149" s="823" t="str">
        <f>IF('Part III A-Sources of Funds'!$H$35="","",-FV('Part III A-Sources of Funds'!$J$35/12,12,D132/12,C149))</f>
        <v/>
      </c>
      <c r="E149" s="823" t="str">
        <f>IF('Part III A-Sources of Funds'!$H$35="","",-FV('Part III A-Sources of Funds'!$J$35/12,12,E132/12,D149))</f>
        <v/>
      </c>
      <c r="F149" s="823" t="str">
        <f>IF('Part III A-Sources of Funds'!$H$35="","",-FV('Part III A-Sources of Funds'!$J$35/12,12,F132/12,E149))</f>
        <v/>
      </c>
      <c r="G149" s="31"/>
      <c r="H149" s="31"/>
      <c r="I149" s="31"/>
      <c r="J149" s="31"/>
      <c r="K149" s="31"/>
    </row>
    <row r="150" spans="1:14" ht="13.2" customHeight="1">
      <c r="A150" s="24" t="s">
        <v>1363</v>
      </c>
      <c r="B150" s="823" t="str">
        <f>IF('Part III A-Sources of Funds'!$H$36="","",-FV('Part III A-Sources of Funds'!$J$36/12,12,B133/12,K115))</f>
        <v/>
      </c>
      <c r="C150" s="823" t="str">
        <f>IF('Part III A-Sources of Funds'!$H$36="","",-FV('Part III A-Sources of Funds'!$J$36/12,12,C133/12,B150))</f>
        <v/>
      </c>
      <c r="D150" s="823" t="str">
        <f>IF('Part III A-Sources of Funds'!$H$36="","",-FV('Part III A-Sources of Funds'!$J$36/12,12,D133/12,C150))</f>
        <v/>
      </c>
      <c r="E150" s="823" t="str">
        <f>IF('Part III A-Sources of Funds'!$H$36="","",-FV('Part III A-Sources of Funds'!$J$36/12,12,E133/12,D150))</f>
        <v/>
      </c>
      <c r="F150" s="823" t="str">
        <f>IF('Part III A-Sources of Funds'!$H$36="","",-FV('Part III A-Sources of Funds'!$J$36/12,12,F133/12,E150))</f>
        <v/>
      </c>
      <c r="G150" s="31"/>
      <c r="H150" s="31"/>
      <c r="I150" s="31"/>
      <c r="J150" s="31"/>
      <c r="K150" s="31"/>
    </row>
    <row r="151" spans="1:14" ht="13.2" customHeight="1">
      <c r="A151" s="29" t="s">
        <v>1898</v>
      </c>
      <c r="B151" s="825">
        <f>IF('Part III A-Sources of Funds'!$H$37="","",-FV('Part III A-Sources of Funds'!$J$37/12,12,B136/12,K116))</f>
        <v>0</v>
      </c>
      <c r="C151" s="825">
        <f>IF('Part III A-Sources of Funds'!$H$37="","",-FV('Part III A-Sources of Funds'!$J$37/12,12,C136/12,B151))</f>
        <v>0</v>
      </c>
      <c r="D151" s="825">
        <f>IF('Part III A-Sources of Funds'!$H$37="","",-FV('Part III A-Sources of Funds'!$J$37/12,12,D136/12,C151))</f>
        <v>0</v>
      </c>
      <c r="E151" s="825">
        <f>IF('Part III A-Sources of Funds'!$H$37="","",-FV('Part III A-Sources of Funds'!$J$37/12,12,E136/12,D151))</f>
        <v>0</v>
      </c>
      <c r="F151" s="825">
        <f>IF('Part III A-Sources of Funds'!$H$37="","",-FV('Part III A-Sources of Funds'!$J$37/12,12,F136/12,E151))</f>
        <v>0</v>
      </c>
      <c r="G151" s="31"/>
      <c r="H151" s="31"/>
      <c r="I151" s="31"/>
      <c r="J151" s="31"/>
      <c r="K151" s="31"/>
    </row>
    <row r="152" spans="1:14" ht="4.2" customHeight="1"/>
    <row r="153" spans="1:14" ht="12" customHeight="1">
      <c r="A153" s="16" t="s">
        <v>877</v>
      </c>
      <c r="B153" s="16"/>
      <c r="G153" s="16" t="s">
        <v>1653</v>
      </c>
    </row>
    <row r="154" spans="1:14" ht="12" customHeight="1">
      <c r="B154" s="37"/>
    </row>
    <row r="155" spans="1:14" ht="73.95" customHeight="1">
      <c r="A155" s="1008" t="s">
        <v>4045</v>
      </c>
      <c r="B155" s="1009"/>
      <c r="C155" s="1009"/>
      <c r="D155" s="1009"/>
      <c r="E155" s="1009"/>
      <c r="F155" s="1010"/>
      <c r="G155" s="1011"/>
      <c r="H155" s="1513"/>
      <c r="I155" s="1513"/>
      <c r="J155" s="1513"/>
      <c r="K155" s="1514"/>
    </row>
    <row r="156" spans="1:14" s="2" customFormat="1" ht="73.95" customHeight="1">
      <c r="A156" s="1005" t="s">
        <v>4035</v>
      </c>
      <c r="B156" s="1508"/>
      <c r="C156" s="1508"/>
      <c r="D156" s="1508"/>
      <c r="E156" s="1508"/>
      <c r="F156" s="1509"/>
      <c r="G156" s="1002"/>
      <c r="H156" s="1508"/>
      <c r="I156" s="1508"/>
      <c r="J156" s="1508"/>
      <c r="K156" s="1509"/>
      <c r="L156" s="9"/>
      <c r="M156" s="9"/>
      <c r="N156" s="9"/>
    </row>
    <row r="157" spans="1:14" s="2" customFormat="1" ht="73.95" customHeight="1">
      <c r="A157" s="1005"/>
      <c r="B157" s="1508"/>
      <c r="C157" s="1508"/>
      <c r="D157" s="1508"/>
      <c r="E157" s="1508"/>
      <c r="F157" s="1509"/>
      <c r="G157" s="1002"/>
      <c r="H157" s="1508"/>
      <c r="I157" s="1508"/>
      <c r="J157" s="1508"/>
      <c r="K157" s="1509"/>
      <c r="L157" s="9"/>
      <c r="M157" s="9"/>
      <c r="N157" s="9"/>
    </row>
    <row r="158" spans="1:14" s="2" customFormat="1" ht="73.95" customHeight="1">
      <c r="A158" s="1014"/>
      <c r="B158" s="1506"/>
      <c r="C158" s="1506"/>
      <c r="D158" s="1506"/>
      <c r="E158" s="1506"/>
      <c r="F158" s="1507"/>
      <c r="G158" s="1017"/>
      <c r="H158" s="1506"/>
      <c r="I158" s="1506"/>
      <c r="J158" s="1506"/>
      <c r="K158" s="1507"/>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C20" sheet="1" objects="1" scenarios="1" formatCells="0"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B202" zoomScale="190" zoomScaleNormal="190" zoomScaleSheetLayoutView="40" workbookViewId="0">
      <selection activeCell="I218" sqref="I218"/>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328" t="str">
        <f>CONCATENATE("PART EIGHT - THRESHOLD CRITERIA","  -  ",'Part I-Project Information'!$O$4," ",'Part I-Project Information'!$F$22,", ",'Part I-Project Information'!F24,", ",'Part I-Project Information'!J25," County")</f>
        <v>PART EIGHT - THRESHOLD CRITERIA  -  2011-003 Pecan Point Apartments, Cochran, Bleckley County</v>
      </c>
      <c r="B1" s="1329"/>
      <c r="C1" s="1329"/>
      <c r="D1" s="1329"/>
      <c r="E1" s="1329"/>
      <c r="F1" s="1329"/>
      <c r="G1" s="1329"/>
      <c r="H1" s="1329"/>
      <c r="I1" s="1329"/>
      <c r="J1" s="1329"/>
      <c r="K1" s="1329"/>
      <c r="L1" s="1329"/>
      <c r="M1" s="1329"/>
      <c r="N1" s="1329"/>
      <c r="O1" s="1329"/>
      <c r="P1" s="1329"/>
      <c r="Q1" s="1329"/>
    </row>
    <row r="2" spans="1:20" s="31" customFormat="1" ht="3" customHeight="1">
      <c r="S2" s="45"/>
      <c r="T2" s="45"/>
    </row>
    <row r="3" spans="1:20" ht="16.95" customHeight="1">
      <c r="A3" s="1601"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601"/>
      <c r="C3" s="1601"/>
      <c r="D3" s="1601"/>
      <c r="E3" s="1601"/>
      <c r="F3" s="1601"/>
      <c r="G3" s="1601"/>
      <c r="H3" s="1601"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601"/>
      <c r="J3" s="1601"/>
      <c r="K3" s="1601"/>
      <c r="L3" s="1601"/>
      <c r="M3" s="1601"/>
      <c r="N3" s="1602"/>
      <c r="O3" s="1603" t="s">
        <v>1529</v>
      </c>
      <c r="P3" s="1604"/>
      <c r="Q3" s="302" t="s">
        <v>2888</v>
      </c>
    </row>
    <row r="4" spans="1:20" ht="3" customHeight="1">
      <c r="A4" s="738"/>
      <c r="B4" s="1595"/>
      <c r="C4" s="1595"/>
      <c r="D4" s="1595"/>
      <c r="E4" s="738"/>
      <c r="F4" s="738"/>
      <c r="G4" s="738"/>
      <c r="H4" s="738"/>
      <c r="I4" s="738"/>
      <c r="J4" s="738"/>
      <c r="K4" s="738"/>
      <c r="L4" s="738"/>
      <c r="M4" s="738"/>
      <c r="N4" s="738"/>
      <c r="P4" s="738"/>
      <c r="Q4" s="738"/>
    </row>
    <row r="5" spans="1:20" ht="10.95" hidden="1" customHeight="1">
      <c r="A5" s="738"/>
      <c r="B5" s="738"/>
      <c r="C5" s="738"/>
      <c r="D5" s="738"/>
      <c r="E5" s="738"/>
      <c r="F5" s="738"/>
      <c r="G5" s="738"/>
      <c r="H5" s="738"/>
      <c r="I5" s="738"/>
      <c r="J5" s="738"/>
      <c r="K5" s="738"/>
      <c r="L5" s="738"/>
      <c r="M5" s="738"/>
      <c r="N5" s="738"/>
      <c r="P5" s="738"/>
      <c r="Q5" s="738"/>
    </row>
    <row r="6" spans="1:20" ht="15" customHeight="1">
      <c r="A6" s="173" t="s">
        <v>863</v>
      </c>
      <c r="P6" s="1596"/>
      <c r="Q6" s="1597"/>
    </row>
    <row r="7" spans="1:20" ht="12.6" customHeight="1">
      <c r="A7" s="174" t="s">
        <v>366</v>
      </c>
      <c r="C7" s="175"/>
      <c r="D7" s="175"/>
    </row>
    <row r="8" spans="1:20" ht="24.6" customHeight="1">
      <c r="A8" s="1598" t="s">
        <v>2117</v>
      </c>
      <c r="B8" s="1599"/>
      <c r="C8" s="1599"/>
      <c r="D8" s="1599"/>
      <c r="E8" s="1599"/>
      <c r="F8" s="1599"/>
      <c r="G8" s="1599"/>
      <c r="H8" s="1599"/>
      <c r="I8" s="1599"/>
      <c r="J8" s="1599"/>
      <c r="K8" s="1599"/>
      <c r="L8" s="1599"/>
      <c r="M8" s="1599"/>
      <c r="N8" s="1599"/>
      <c r="O8" s="1599"/>
      <c r="P8" s="1599"/>
      <c r="Q8" s="1600"/>
      <c r="R8" s="1540" t="s">
        <v>3110</v>
      </c>
      <c r="S8" s="1540"/>
    </row>
    <row r="9" spans="1:20" ht="24.6" customHeight="1">
      <c r="A9" s="1541" t="s">
        <v>289</v>
      </c>
      <c r="B9" s="1542"/>
      <c r="C9" s="1542"/>
      <c r="D9" s="1542"/>
      <c r="E9" s="1542"/>
      <c r="F9" s="1542"/>
      <c r="G9" s="1542"/>
      <c r="H9" s="1542"/>
      <c r="I9" s="1542"/>
      <c r="J9" s="1542"/>
      <c r="K9" s="1542"/>
      <c r="L9" s="1542"/>
      <c r="M9" s="1542"/>
      <c r="N9" s="1542"/>
      <c r="O9" s="1542"/>
      <c r="P9" s="1542"/>
      <c r="Q9" s="1543"/>
      <c r="R9" s="1540"/>
      <c r="S9" s="1540"/>
    </row>
    <row r="10" spans="1:20" ht="24.6" customHeight="1">
      <c r="A10" s="1541" t="s">
        <v>2113</v>
      </c>
      <c r="B10" s="1542"/>
      <c r="C10" s="1542"/>
      <c r="D10" s="1542"/>
      <c r="E10" s="1542"/>
      <c r="F10" s="1542"/>
      <c r="G10" s="1542"/>
      <c r="H10" s="1542"/>
      <c r="I10" s="1542"/>
      <c r="J10" s="1542"/>
      <c r="K10" s="1542"/>
      <c r="L10" s="1542"/>
      <c r="M10" s="1542"/>
      <c r="N10" s="1542"/>
      <c r="O10" s="1542"/>
      <c r="P10" s="1542"/>
      <c r="Q10" s="1543"/>
      <c r="R10" s="1540"/>
      <c r="S10" s="1540"/>
    </row>
    <row r="11" spans="1:20" ht="24.6" customHeight="1">
      <c r="A11" s="1541" t="s">
        <v>2114</v>
      </c>
      <c r="B11" s="1542"/>
      <c r="C11" s="1542"/>
      <c r="D11" s="1542"/>
      <c r="E11" s="1542"/>
      <c r="F11" s="1542"/>
      <c r="G11" s="1542"/>
      <c r="H11" s="1542"/>
      <c r="I11" s="1542"/>
      <c r="J11" s="1542"/>
      <c r="K11" s="1542"/>
      <c r="L11" s="1542"/>
      <c r="M11" s="1542"/>
      <c r="N11" s="1542"/>
      <c r="O11" s="1542"/>
      <c r="P11" s="1542"/>
      <c r="Q11" s="1543"/>
      <c r="R11" s="1540"/>
      <c r="S11" s="1540"/>
    </row>
    <row r="12" spans="1:20" ht="24.6" customHeight="1">
      <c r="A12" s="1541" t="s">
        <v>2115</v>
      </c>
      <c r="B12" s="1542"/>
      <c r="C12" s="1542"/>
      <c r="D12" s="1542"/>
      <c r="E12" s="1542"/>
      <c r="F12" s="1542"/>
      <c r="G12" s="1542"/>
      <c r="H12" s="1542"/>
      <c r="I12" s="1542"/>
      <c r="J12" s="1542"/>
      <c r="K12" s="1542"/>
      <c r="L12" s="1542"/>
      <c r="M12" s="1542"/>
      <c r="N12" s="1542"/>
      <c r="O12" s="1542"/>
      <c r="P12" s="1542"/>
      <c r="Q12" s="1543"/>
      <c r="R12" s="741"/>
      <c r="S12" s="741"/>
    </row>
    <row r="13" spans="1:20" ht="24.6" customHeight="1">
      <c r="A13" s="1541" t="s">
        <v>2116</v>
      </c>
      <c r="B13" s="1542"/>
      <c r="C13" s="1542"/>
      <c r="D13" s="1542"/>
      <c r="E13" s="1542"/>
      <c r="F13" s="1542"/>
      <c r="G13" s="1542"/>
      <c r="H13" s="1542"/>
      <c r="I13" s="1542"/>
      <c r="J13" s="1542"/>
      <c r="K13" s="1542"/>
      <c r="L13" s="1542"/>
      <c r="M13" s="1542"/>
      <c r="N13" s="1542"/>
      <c r="O13" s="1542"/>
      <c r="P13" s="1542"/>
      <c r="Q13" s="1543"/>
      <c r="R13" s="741"/>
      <c r="S13" s="741"/>
    </row>
    <row r="14" spans="1:20" ht="24.6" customHeight="1">
      <c r="A14" s="1541" t="s">
        <v>2118</v>
      </c>
      <c r="B14" s="1542"/>
      <c r="C14" s="1542"/>
      <c r="D14" s="1542"/>
      <c r="E14" s="1542"/>
      <c r="F14" s="1542"/>
      <c r="G14" s="1542"/>
      <c r="H14" s="1542"/>
      <c r="I14" s="1542"/>
      <c r="J14" s="1542"/>
      <c r="K14" s="1542"/>
      <c r="L14" s="1542"/>
      <c r="M14" s="1542"/>
      <c r="N14" s="1542"/>
      <c r="O14" s="1542"/>
      <c r="P14" s="1542"/>
      <c r="Q14" s="1543"/>
    </row>
    <row r="15" spans="1:20" ht="24.6" customHeight="1">
      <c r="A15" s="1541" t="s">
        <v>3097</v>
      </c>
      <c r="B15" s="1542"/>
      <c r="C15" s="1542"/>
      <c r="D15" s="1542"/>
      <c r="E15" s="1542"/>
      <c r="F15" s="1542"/>
      <c r="G15" s="1542"/>
      <c r="H15" s="1542"/>
      <c r="I15" s="1542"/>
      <c r="J15" s="1542"/>
      <c r="K15" s="1542"/>
      <c r="L15" s="1542"/>
      <c r="M15" s="1542"/>
      <c r="N15" s="1542"/>
      <c r="O15" s="1542"/>
      <c r="P15" s="1542"/>
      <c r="Q15" s="1543"/>
      <c r="R15" s="1540" t="s">
        <v>3110</v>
      </c>
      <c r="S15" s="1540"/>
    </row>
    <row r="16" spans="1:20" ht="24.6" customHeight="1">
      <c r="A16" s="1541" t="s">
        <v>3098</v>
      </c>
      <c r="B16" s="1542"/>
      <c r="C16" s="1542"/>
      <c r="D16" s="1542"/>
      <c r="E16" s="1542"/>
      <c r="F16" s="1542"/>
      <c r="G16" s="1542"/>
      <c r="H16" s="1542"/>
      <c r="I16" s="1542"/>
      <c r="J16" s="1542"/>
      <c r="K16" s="1542"/>
      <c r="L16" s="1542"/>
      <c r="M16" s="1542"/>
      <c r="N16" s="1542"/>
      <c r="O16" s="1542"/>
      <c r="P16" s="1542"/>
      <c r="Q16" s="1543"/>
      <c r="R16" s="1540"/>
      <c r="S16" s="1540"/>
    </row>
    <row r="17" spans="1:19" ht="24.6" customHeight="1">
      <c r="A17" s="1541" t="s">
        <v>3099</v>
      </c>
      <c r="B17" s="1542"/>
      <c r="C17" s="1542"/>
      <c r="D17" s="1542"/>
      <c r="E17" s="1542"/>
      <c r="F17" s="1542"/>
      <c r="G17" s="1542"/>
      <c r="H17" s="1542"/>
      <c r="I17" s="1542"/>
      <c r="J17" s="1542"/>
      <c r="K17" s="1542"/>
      <c r="L17" s="1542"/>
      <c r="M17" s="1542"/>
      <c r="N17" s="1542"/>
      <c r="O17" s="1542"/>
      <c r="P17" s="1542"/>
      <c r="Q17" s="1543"/>
      <c r="R17" s="1540"/>
      <c r="S17" s="1540"/>
    </row>
    <row r="18" spans="1:19" ht="24.6" customHeight="1">
      <c r="A18" s="1541" t="s">
        <v>3100</v>
      </c>
      <c r="B18" s="1542"/>
      <c r="C18" s="1542"/>
      <c r="D18" s="1542"/>
      <c r="E18" s="1542"/>
      <c r="F18" s="1542"/>
      <c r="G18" s="1542"/>
      <c r="H18" s="1542"/>
      <c r="I18" s="1542"/>
      <c r="J18" s="1542"/>
      <c r="K18" s="1542"/>
      <c r="L18" s="1542"/>
      <c r="M18" s="1542"/>
      <c r="N18" s="1542"/>
      <c r="O18" s="1542"/>
      <c r="P18" s="1542"/>
      <c r="Q18" s="1543"/>
      <c r="R18" s="1540"/>
      <c r="S18" s="1540"/>
    </row>
    <row r="19" spans="1:19" ht="24.6" customHeight="1">
      <c r="A19" s="1541" t="s">
        <v>3101</v>
      </c>
      <c r="B19" s="1542"/>
      <c r="C19" s="1542"/>
      <c r="D19" s="1542"/>
      <c r="E19" s="1542"/>
      <c r="F19" s="1542"/>
      <c r="G19" s="1542"/>
      <c r="H19" s="1542"/>
      <c r="I19" s="1542"/>
      <c r="J19" s="1542"/>
      <c r="K19" s="1542"/>
      <c r="L19" s="1542"/>
      <c r="M19" s="1542"/>
      <c r="N19" s="1542"/>
      <c r="O19" s="1542"/>
      <c r="P19" s="1542"/>
      <c r="Q19" s="1543"/>
      <c r="R19" s="741"/>
      <c r="S19" s="741"/>
    </row>
    <row r="20" spans="1:19" ht="24.6" customHeight="1">
      <c r="A20" s="1541" t="s">
        <v>3102</v>
      </c>
      <c r="B20" s="1542"/>
      <c r="C20" s="1542"/>
      <c r="D20" s="1542"/>
      <c r="E20" s="1542"/>
      <c r="F20" s="1542"/>
      <c r="G20" s="1542"/>
      <c r="H20" s="1542"/>
      <c r="I20" s="1542"/>
      <c r="J20" s="1542"/>
      <c r="K20" s="1542"/>
      <c r="L20" s="1542"/>
      <c r="M20" s="1542"/>
      <c r="N20" s="1542"/>
      <c r="O20" s="1542"/>
      <c r="P20" s="1542"/>
      <c r="Q20" s="1543"/>
      <c r="R20" s="741"/>
      <c r="S20" s="741"/>
    </row>
    <row r="21" spans="1:19" ht="24.6" customHeight="1">
      <c r="A21" s="1541" t="s">
        <v>3103</v>
      </c>
      <c r="B21" s="1542"/>
      <c r="C21" s="1542"/>
      <c r="D21" s="1542"/>
      <c r="E21" s="1542"/>
      <c r="F21" s="1542"/>
      <c r="G21" s="1542"/>
      <c r="H21" s="1542"/>
      <c r="I21" s="1542"/>
      <c r="J21" s="1542"/>
      <c r="K21" s="1542"/>
      <c r="L21" s="1542"/>
      <c r="M21" s="1542"/>
      <c r="N21" s="1542"/>
      <c r="O21" s="1542"/>
      <c r="P21" s="1542"/>
      <c r="Q21" s="1543"/>
    </row>
    <row r="22" spans="1:19" ht="24.6" customHeight="1">
      <c r="A22" s="1541" t="s">
        <v>3104</v>
      </c>
      <c r="B22" s="1542"/>
      <c r="C22" s="1542"/>
      <c r="D22" s="1542"/>
      <c r="E22" s="1542"/>
      <c r="F22" s="1542"/>
      <c r="G22" s="1542"/>
      <c r="H22" s="1542"/>
      <c r="I22" s="1542"/>
      <c r="J22" s="1542"/>
      <c r="K22" s="1542"/>
      <c r="L22" s="1542"/>
      <c r="M22" s="1542"/>
      <c r="N22" s="1542"/>
      <c r="O22" s="1542"/>
      <c r="P22" s="1542"/>
      <c r="Q22" s="1543"/>
      <c r="R22" s="1540" t="s">
        <v>3110</v>
      </c>
      <c r="S22" s="1540"/>
    </row>
    <row r="23" spans="1:19" ht="24.6" customHeight="1">
      <c r="A23" s="1541" t="s">
        <v>3105</v>
      </c>
      <c r="B23" s="1542"/>
      <c r="C23" s="1542"/>
      <c r="D23" s="1542"/>
      <c r="E23" s="1542"/>
      <c r="F23" s="1542"/>
      <c r="G23" s="1542"/>
      <c r="H23" s="1542"/>
      <c r="I23" s="1542"/>
      <c r="J23" s="1542"/>
      <c r="K23" s="1542"/>
      <c r="L23" s="1542"/>
      <c r="M23" s="1542"/>
      <c r="N23" s="1542"/>
      <c r="O23" s="1542"/>
      <c r="P23" s="1542"/>
      <c r="Q23" s="1543"/>
      <c r="R23" s="1540"/>
      <c r="S23" s="1540"/>
    </row>
    <row r="24" spans="1:19" ht="24.6" customHeight="1">
      <c r="A24" s="1541" t="s">
        <v>3106</v>
      </c>
      <c r="B24" s="1542"/>
      <c r="C24" s="1542"/>
      <c r="D24" s="1542"/>
      <c r="E24" s="1542"/>
      <c r="F24" s="1542"/>
      <c r="G24" s="1542"/>
      <c r="H24" s="1542"/>
      <c r="I24" s="1542"/>
      <c r="J24" s="1542"/>
      <c r="K24" s="1542"/>
      <c r="L24" s="1542"/>
      <c r="M24" s="1542"/>
      <c r="N24" s="1542"/>
      <c r="O24" s="1542"/>
      <c r="P24" s="1542"/>
      <c r="Q24" s="1543"/>
      <c r="R24" s="1540"/>
      <c r="S24" s="1540"/>
    </row>
    <row r="25" spans="1:19" ht="24.6" customHeight="1">
      <c r="A25" s="1541" t="s">
        <v>3107</v>
      </c>
      <c r="B25" s="1542"/>
      <c r="C25" s="1542"/>
      <c r="D25" s="1542"/>
      <c r="E25" s="1542"/>
      <c r="F25" s="1542"/>
      <c r="G25" s="1542"/>
      <c r="H25" s="1542"/>
      <c r="I25" s="1542"/>
      <c r="J25" s="1542"/>
      <c r="K25" s="1542"/>
      <c r="L25" s="1542"/>
      <c r="M25" s="1542"/>
      <c r="N25" s="1542"/>
      <c r="O25" s="1542"/>
      <c r="P25" s="1542"/>
      <c r="Q25" s="1543"/>
      <c r="R25" s="1540"/>
      <c r="S25" s="1540"/>
    </row>
    <row r="26" spans="1:19" ht="24.6" customHeight="1">
      <c r="A26" s="1541" t="s">
        <v>3108</v>
      </c>
      <c r="B26" s="1542"/>
      <c r="C26" s="1542"/>
      <c r="D26" s="1542"/>
      <c r="E26" s="1542"/>
      <c r="F26" s="1542"/>
      <c r="G26" s="1542"/>
      <c r="H26" s="1542"/>
      <c r="I26" s="1542"/>
      <c r="J26" s="1542"/>
      <c r="K26" s="1542"/>
      <c r="L26" s="1542"/>
      <c r="M26" s="1542"/>
      <c r="N26" s="1542"/>
      <c r="O26" s="1542"/>
      <c r="P26" s="1542"/>
      <c r="Q26" s="1543"/>
      <c r="R26" s="741"/>
      <c r="S26" s="741"/>
    </row>
    <row r="27" spans="1:19" ht="24.6" customHeight="1">
      <c r="A27" s="1553" t="s">
        <v>3109</v>
      </c>
      <c r="B27" s="1554"/>
      <c r="C27" s="1554"/>
      <c r="D27" s="1554"/>
      <c r="E27" s="1554"/>
      <c r="F27" s="1554"/>
      <c r="G27" s="1554"/>
      <c r="H27" s="1554"/>
      <c r="I27" s="1554"/>
      <c r="J27" s="1554"/>
      <c r="K27" s="1554"/>
      <c r="L27" s="1554"/>
      <c r="M27" s="1554"/>
      <c r="N27" s="1554"/>
      <c r="O27" s="1554"/>
      <c r="P27" s="1554"/>
      <c r="Q27" s="1555"/>
      <c r="R27" s="741"/>
      <c r="S27" s="741"/>
    </row>
    <row r="28" spans="1:19" ht="6" customHeight="1"/>
    <row r="29" spans="1:19" ht="13.95" customHeight="1">
      <c r="A29" s="176">
        <v>1</v>
      </c>
      <c r="B29" s="177" t="s">
        <v>102</v>
      </c>
      <c r="C29" s="178"/>
      <c r="D29" s="118"/>
      <c r="E29" s="118"/>
      <c r="F29" s="118"/>
      <c r="G29" s="118"/>
      <c r="I29" s="179"/>
      <c r="J29" s="179"/>
      <c r="K29" s="179"/>
      <c r="L29" s="738"/>
      <c r="M29" s="738"/>
      <c r="O29" s="180" t="s">
        <v>2921</v>
      </c>
      <c r="P29" s="1521"/>
      <c r="Q29" s="1522"/>
    </row>
    <row r="30" spans="1:19" ht="3" customHeight="1"/>
    <row r="31" spans="1:19" ht="12" customHeight="1">
      <c r="B31" s="192" t="s">
        <v>3058</v>
      </c>
      <c r="C31" s="65" t="s">
        <v>1076</v>
      </c>
      <c r="E31" s="40"/>
      <c r="F31" s="40"/>
      <c r="G31" s="40"/>
      <c r="H31" s="40"/>
      <c r="I31" s="52"/>
      <c r="J31" s="42"/>
      <c r="K31" s="52"/>
      <c r="L31" s="42"/>
      <c r="M31" s="42"/>
      <c r="O31" s="83" t="s">
        <v>922</v>
      </c>
      <c r="P31" s="796" t="s">
        <v>3919</v>
      </c>
      <c r="Q31" s="234"/>
    </row>
    <row r="32" spans="1:19" ht="12" customHeight="1">
      <c r="B32" s="57" t="s">
        <v>3061</v>
      </c>
      <c r="C32" s="65" t="s">
        <v>1077</v>
      </c>
      <c r="E32" s="40"/>
      <c r="F32" s="40"/>
      <c r="G32" s="40"/>
      <c r="H32" s="40"/>
      <c r="J32" s="1550" t="s">
        <v>3260</v>
      </c>
      <c r="K32" s="1551"/>
      <c r="L32" s="1551"/>
      <c r="M32" s="1551"/>
      <c r="N32" s="1552"/>
      <c r="O32" s="83"/>
      <c r="P32" s="83"/>
      <c r="Q32" s="83"/>
    </row>
    <row r="33" spans="1:31" ht="11.25" customHeight="1">
      <c r="B33" s="84" t="s">
        <v>2919</v>
      </c>
      <c r="C33" s="84"/>
      <c r="D33" s="84"/>
      <c r="E33" s="84"/>
      <c r="F33" s="84"/>
      <c r="G33" s="179"/>
      <c r="H33" s="179"/>
      <c r="I33" s="179"/>
      <c r="J33" s="179"/>
      <c r="K33" s="738"/>
      <c r="L33" s="738"/>
      <c r="M33" s="738"/>
      <c r="N33" s="738"/>
      <c r="O33" s="738"/>
      <c r="P33" s="63"/>
      <c r="S33" s="217"/>
      <c r="T33" s="217"/>
    </row>
    <row r="34" spans="1:31" ht="12" customHeight="1">
      <c r="A34" s="1524"/>
      <c r="B34" s="1525"/>
      <c r="C34" s="1525"/>
      <c r="D34" s="1525"/>
      <c r="E34" s="1525"/>
      <c r="F34" s="1525"/>
      <c r="G34" s="1525"/>
      <c r="H34" s="1525"/>
      <c r="I34" s="1525"/>
      <c r="J34" s="1525"/>
      <c r="K34" s="1525"/>
      <c r="L34" s="1525"/>
      <c r="M34" s="1525"/>
      <c r="N34" s="1525"/>
      <c r="O34" s="1525"/>
      <c r="P34" s="1525"/>
      <c r="Q34" s="1526"/>
      <c r="R34" s="1540" t="s">
        <v>1931</v>
      </c>
      <c r="S34" s="1540"/>
      <c r="T34" s="217"/>
      <c r="U34" s="185"/>
      <c r="V34" s="185"/>
      <c r="W34" s="185"/>
      <c r="X34" s="185"/>
      <c r="Y34" s="185"/>
      <c r="Z34" s="185"/>
      <c r="AA34" s="185"/>
      <c r="AB34" s="185"/>
      <c r="AC34" s="185"/>
      <c r="AD34" s="185"/>
      <c r="AE34" s="186"/>
    </row>
    <row r="35" spans="1:31" ht="12" customHeight="1">
      <c r="A35" s="1544"/>
      <c r="B35" s="1545"/>
      <c r="C35" s="1545"/>
      <c r="D35" s="1545"/>
      <c r="E35" s="1545"/>
      <c r="F35" s="1545"/>
      <c r="G35" s="1545"/>
      <c r="H35" s="1545"/>
      <c r="I35" s="1545"/>
      <c r="J35" s="1545"/>
      <c r="K35" s="1545"/>
      <c r="L35" s="1545"/>
      <c r="M35" s="1545"/>
      <c r="N35" s="1545"/>
      <c r="O35" s="1545"/>
      <c r="P35" s="1545"/>
      <c r="Q35" s="1546"/>
      <c r="R35" s="1540"/>
      <c r="S35" s="1540"/>
      <c r="T35" s="217"/>
    </row>
    <row r="36" spans="1:31" ht="12" customHeight="1">
      <c r="A36" s="1518"/>
      <c r="B36" s="1519"/>
      <c r="C36" s="1519"/>
      <c r="D36" s="1519"/>
      <c r="E36" s="1519"/>
      <c r="F36" s="1519"/>
      <c r="G36" s="1519"/>
      <c r="H36" s="1519"/>
      <c r="I36" s="1519"/>
      <c r="J36" s="1519"/>
      <c r="K36" s="1519"/>
      <c r="L36" s="1519"/>
      <c r="M36" s="1519"/>
      <c r="N36" s="1519"/>
      <c r="O36" s="1519"/>
      <c r="P36" s="1519"/>
      <c r="Q36" s="1520"/>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1515"/>
      <c r="B38" s="1516"/>
      <c r="C38" s="1516"/>
      <c r="D38" s="1516"/>
      <c r="E38" s="1516"/>
      <c r="F38" s="1516"/>
      <c r="G38" s="1516"/>
      <c r="H38" s="1516"/>
      <c r="I38" s="1516"/>
      <c r="J38" s="1516"/>
      <c r="K38" s="1516"/>
      <c r="L38" s="1516"/>
      <c r="M38" s="1516"/>
      <c r="N38" s="1516"/>
      <c r="O38" s="1516"/>
      <c r="P38" s="1516"/>
      <c r="Q38" s="1517"/>
      <c r="R38" s="1540" t="s">
        <v>1931</v>
      </c>
      <c r="S38" s="1540"/>
    </row>
    <row r="39" spans="1:31" ht="12" customHeight="1">
      <c r="A39" s="1547"/>
      <c r="B39" s="1548"/>
      <c r="C39" s="1548"/>
      <c r="D39" s="1548"/>
      <c r="E39" s="1548"/>
      <c r="F39" s="1548"/>
      <c r="G39" s="1548"/>
      <c r="H39" s="1548"/>
      <c r="I39" s="1548"/>
      <c r="J39" s="1548"/>
      <c r="K39" s="1548"/>
      <c r="L39" s="1548"/>
      <c r="M39" s="1548"/>
      <c r="N39" s="1548"/>
      <c r="O39" s="1548"/>
      <c r="P39" s="1548"/>
      <c r="Q39" s="1549"/>
      <c r="R39" s="1540"/>
      <c r="S39" s="1540"/>
    </row>
    <row r="40" spans="1:31" ht="12" customHeight="1">
      <c r="A40" s="1547"/>
      <c r="B40" s="1548"/>
      <c r="C40" s="1548"/>
      <c r="D40" s="1548"/>
      <c r="E40" s="1548"/>
      <c r="F40" s="1548"/>
      <c r="G40" s="1548"/>
      <c r="H40" s="1548"/>
      <c r="I40" s="1548"/>
      <c r="J40" s="1548"/>
      <c r="K40" s="1548"/>
      <c r="L40" s="1548"/>
      <c r="M40" s="1548"/>
      <c r="N40" s="1548"/>
      <c r="O40" s="1548"/>
      <c r="P40" s="1548"/>
      <c r="Q40" s="1549"/>
      <c r="R40" s="1540"/>
      <c r="S40" s="1540"/>
    </row>
    <row r="41" spans="1:31" ht="12" customHeight="1">
      <c r="A41" s="1547"/>
      <c r="B41" s="1548"/>
      <c r="C41" s="1548"/>
      <c r="D41" s="1548"/>
      <c r="E41" s="1548"/>
      <c r="F41" s="1548"/>
      <c r="G41" s="1548"/>
      <c r="H41" s="1548"/>
      <c r="I41" s="1548"/>
      <c r="J41" s="1548"/>
      <c r="K41" s="1548"/>
      <c r="L41" s="1548"/>
      <c r="M41" s="1548"/>
      <c r="N41" s="1548"/>
      <c r="O41" s="1548"/>
      <c r="P41" s="1548"/>
      <c r="Q41" s="1549"/>
    </row>
    <row r="42" spans="1:31" ht="12" customHeight="1">
      <c r="A42" s="1547"/>
      <c r="B42" s="1548"/>
      <c r="C42" s="1548"/>
      <c r="D42" s="1548"/>
      <c r="E42" s="1548"/>
      <c r="F42" s="1548"/>
      <c r="G42" s="1548"/>
      <c r="H42" s="1548"/>
      <c r="I42" s="1548"/>
      <c r="J42" s="1548"/>
      <c r="K42" s="1548"/>
      <c r="L42" s="1548"/>
      <c r="M42" s="1548"/>
      <c r="N42" s="1548"/>
      <c r="O42" s="1548"/>
      <c r="P42" s="1548"/>
      <c r="Q42" s="1549"/>
    </row>
    <row r="43" spans="1:31" ht="12" customHeight="1">
      <c r="A43" s="1533"/>
      <c r="B43" s="1534"/>
      <c r="C43" s="1534"/>
      <c r="D43" s="1534"/>
      <c r="E43" s="1534"/>
      <c r="F43" s="1534"/>
      <c r="G43" s="1534"/>
      <c r="H43" s="1534"/>
      <c r="I43" s="1534"/>
      <c r="J43" s="1534"/>
      <c r="K43" s="1534"/>
      <c r="L43" s="1534"/>
      <c r="M43" s="1534"/>
      <c r="N43" s="1534"/>
      <c r="O43" s="1534"/>
      <c r="P43" s="1534"/>
      <c r="Q43" s="1535"/>
    </row>
    <row r="44" spans="1:31" ht="3" customHeight="1">
      <c r="B44" s="179"/>
      <c r="C44" s="740"/>
      <c r="D44" s="740"/>
      <c r="E44" s="740"/>
      <c r="F44" s="740"/>
      <c r="G44" s="740"/>
      <c r="H44" s="740"/>
      <c r="I44" s="740"/>
      <c r="J44" s="740"/>
      <c r="K44" s="740"/>
      <c r="L44" s="740"/>
      <c r="M44" s="740"/>
      <c r="N44" s="740"/>
      <c r="O44" s="740"/>
      <c r="P44" s="740"/>
      <c r="Q44" s="738"/>
    </row>
    <row r="45" spans="1:31" ht="13.95" customHeight="1">
      <c r="A45" s="742">
        <v>2</v>
      </c>
      <c r="B45" s="5" t="s">
        <v>2083</v>
      </c>
      <c r="C45" s="5"/>
      <c r="D45" s="5"/>
      <c r="E45" s="740"/>
      <c r="F45" s="740"/>
      <c r="G45" s="740"/>
      <c r="H45" s="740"/>
      <c r="K45" s="740"/>
      <c r="L45" s="740"/>
      <c r="M45" s="740"/>
      <c r="O45" s="180" t="s">
        <v>2921</v>
      </c>
      <c r="P45" s="1521"/>
      <c r="Q45" s="1522"/>
    </row>
    <row r="46" spans="1:31" ht="3" customHeight="1"/>
    <row r="47" spans="1:31" ht="11.4" customHeight="1">
      <c r="A47" s="189"/>
      <c r="C47" s="190" t="s">
        <v>113</v>
      </c>
      <c r="D47" s="190"/>
      <c r="E47" s="190"/>
      <c r="F47" s="190"/>
      <c r="G47" s="190"/>
      <c r="H47" s="190"/>
      <c r="J47" s="1609" t="str">
        <f>'Part I-Project Information'!$H$65</f>
        <v>Family</v>
      </c>
      <c r="K47" s="1610"/>
      <c r="L47" s="1611"/>
      <c r="M47" s="740"/>
      <c r="N47" s="740"/>
      <c r="P47" s="796" t="s">
        <v>3918</v>
      </c>
      <c r="Q47" s="234"/>
    </row>
    <row r="48" spans="1:31" ht="11.25" customHeight="1">
      <c r="B48" s="131" t="s">
        <v>2919</v>
      </c>
      <c r="D48" s="131"/>
      <c r="E48" s="131"/>
      <c r="F48" s="131"/>
      <c r="G48" s="131"/>
      <c r="H48" s="50"/>
      <c r="I48" s="179"/>
      <c r="J48" s="179"/>
      <c r="K48" s="187" t="s">
        <v>2920</v>
      </c>
      <c r="L48" s="738"/>
      <c r="M48" s="738"/>
      <c r="N48" s="738"/>
      <c r="O48" s="738"/>
      <c r="P48" s="738"/>
      <c r="Q48" s="63"/>
    </row>
    <row r="49" spans="1:31" ht="11.4" customHeight="1">
      <c r="A49" s="1530"/>
      <c r="B49" s="1531"/>
      <c r="C49" s="1531"/>
      <c r="D49" s="1531"/>
      <c r="E49" s="1531"/>
      <c r="F49" s="1531"/>
      <c r="G49" s="1531"/>
      <c r="H49" s="1531"/>
      <c r="I49" s="1531"/>
      <c r="J49" s="1532"/>
      <c r="K49" s="1573"/>
      <c r="L49" s="1574"/>
      <c r="M49" s="1574"/>
      <c r="N49" s="1574"/>
      <c r="O49" s="1574"/>
      <c r="P49" s="1574"/>
      <c r="Q49" s="1575"/>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5" customHeight="1">
      <c r="A51" s="742">
        <v>3</v>
      </c>
      <c r="B51" s="742" t="s">
        <v>681</v>
      </c>
      <c r="C51" s="153"/>
      <c r="D51" s="740"/>
      <c r="E51" s="740"/>
      <c r="F51" s="740"/>
      <c r="G51" s="740"/>
      <c r="H51" s="740"/>
      <c r="I51" s="740"/>
      <c r="J51" s="740"/>
      <c r="K51" s="740"/>
      <c r="L51" s="740"/>
      <c r="M51" s="740"/>
      <c r="O51" s="180" t="s">
        <v>2921</v>
      </c>
      <c r="P51" s="1521"/>
      <c r="Q51" s="1522"/>
    </row>
    <row r="52" spans="1:31" ht="3" customHeight="1"/>
    <row r="53" spans="1:31" ht="12.6" customHeight="1">
      <c r="B53" s="192" t="s">
        <v>3058</v>
      </c>
      <c r="C53" s="1565" t="s">
        <v>399</v>
      </c>
      <c r="D53" s="1565"/>
      <c r="E53" s="1565"/>
      <c r="F53" s="1565"/>
      <c r="G53" s="1565"/>
      <c r="H53" s="1565"/>
      <c r="I53" s="1565"/>
      <c r="J53" s="1565"/>
      <c r="K53" s="1565"/>
      <c r="L53" s="1565"/>
      <c r="M53" s="1565"/>
      <c r="O53" s="193"/>
      <c r="P53" s="796" t="s">
        <v>3993</v>
      </c>
      <c r="Q53" s="234"/>
    </row>
    <row r="54" spans="1:31" ht="12" customHeight="1">
      <c r="B54" s="57" t="s">
        <v>3061</v>
      </c>
      <c r="C54" s="40" t="s">
        <v>2228</v>
      </c>
      <c r="D54" s="40"/>
      <c r="E54" s="40"/>
      <c r="F54" s="40"/>
      <c r="G54" s="40"/>
      <c r="H54" s="40"/>
      <c r="I54" s="40"/>
      <c r="J54" s="40"/>
      <c r="K54" s="40"/>
      <c r="L54" s="40"/>
      <c r="M54" s="40"/>
      <c r="O54" s="40"/>
      <c r="P54" s="40"/>
      <c r="Q54" s="40"/>
    </row>
    <row r="55" spans="1:31" ht="10.95" customHeight="1">
      <c r="A55" s="194"/>
      <c r="B55" s="52"/>
      <c r="C55" s="83" t="s">
        <v>2763</v>
      </c>
      <c r="D55" s="40" t="s">
        <v>881</v>
      </c>
      <c r="E55" s="737"/>
      <c r="F55" s="737"/>
      <c r="G55" s="737"/>
      <c r="H55" s="42"/>
      <c r="I55" s="52"/>
      <c r="J55" s="52"/>
      <c r="K55" s="52"/>
      <c r="L55" s="42"/>
      <c r="M55" s="42"/>
      <c r="O55" s="83" t="s">
        <v>2763</v>
      </c>
      <c r="P55" s="796" t="s">
        <v>3918</v>
      </c>
      <c r="Q55" s="234"/>
    </row>
    <row r="56" spans="1:31" ht="10.95" customHeight="1">
      <c r="A56" s="194"/>
      <c r="B56" s="52"/>
      <c r="C56" s="83" t="s">
        <v>2764</v>
      </c>
      <c r="D56" s="40" t="s">
        <v>2844</v>
      </c>
      <c r="E56" s="737"/>
      <c r="F56" s="737"/>
      <c r="G56" s="737"/>
      <c r="H56" s="42"/>
      <c r="I56" s="52"/>
      <c r="J56" s="52"/>
      <c r="O56" s="83" t="s">
        <v>2764</v>
      </c>
      <c r="P56" s="796" t="s">
        <v>3919</v>
      </c>
      <c r="Q56" s="234"/>
    </row>
    <row r="57" spans="1:31" ht="10.95" customHeight="1">
      <c r="A57" s="194"/>
      <c r="B57" s="52"/>
      <c r="C57" s="83" t="s">
        <v>2765</v>
      </c>
      <c r="D57" s="40" t="s">
        <v>400</v>
      </c>
      <c r="E57" s="737"/>
      <c r="J57" s="83"/>
      <c r="K57" s="83" t="s">
        <v>2765</v>
      </c>
      <c r="L57" s="1527"/>
      <c r="M57" s="1528"/>
      <c r="N57" s="1528"/>
      <c r="O57" s="1528"/>
      <c r="P57" s="1529"/>
      <c r="Q57" s="234"/>
    </row>
    <row r="58" spans="1:31" ht="11.25" customHeight="1">
      <c r="B58" s="131" t="s">
        <v>2919</v>
      </c>
      <c r="D58" s="131"/>
      <c r="E58" s="131"/>
      <c r="F58" s="131"/>
      <c r="G58" s="131"/>
      <c r="H58" s="50"/>
      <c r="I58" s="179"/>
      <c r="J58" s="179"/>
      <c r="K58" s="179"/>
      <c r="L58" s="738"/>
      <c r="M58" s="738"/>
      <c r="N58" s="738"/>
      <c r="O58" s="738"/>
      <c r="P58" s="738"/>
      <c r="Q58" s="63"/>
    </row>
    <row r="59" spans="1:31" ht="24.75" customHeight="1">
      <c r="A59" s="1524" t="s">
        <v>3999</v>
      </c>
      <c r="B59" s="1525"/>
      <c r="C59" s="1525"/>
      <c r="D59" s="1525"/>
      <c r="E59" s="1525"/>
      <c r="F59" s="1525"/>
      <c r="G59" s="1525"/>
      <c r="H59" s="1525"/>
      <c r="I59" s="1525"/>
      <c r="J59" s="1525"/>
      <c r="K59" s="1525"/>
      <c r="L59" s="1525"/>
      <c r="M59" s="1525"/>
      <c r="N59" s="1525"/>
      <c r="O59" s="1525"/>
      <c r="P59" s="1525"/>
      <c r="Q59" s="1526"/>
      <c r="U59" s="185"/>
      <c r="V59" s="185"/>
      <c r="W59" s="185"/>
      <c r="X59" s="185"/>
      <c r="Y59" s="185"/>
      <c r="Z59" s="185"/>
      <c r="AA59" s="185"/>
      <c r="AB59" s="185"/>
      <c r="AC59" s="185"/>
      <c r="AD59" s="185"/>
      <c r="AE59" s="186"/>
    </row>
    <row r="60" spans="1:31" ht="12" customHeight="1">
      <c r="A60" s="1518"/>
      <c r="B60" s="1519"/>
      <c r="C60" s="1519"/>
      <c r="D60" s="1519"/>
      <c r="E60" s="1519"/>
      <c r="F60" s="1519"/>
      <c r="G60" s="1519"/>
      <c r="H60" s="1519"/>
      <c r="I60" s="1519"/>
      <c r="J60" s="1519"/>
      <c r="K60" s="1519"/>
      <c r="L60" s="1519"/>
      <c r="M60" s="1519"/>
      <c r="N60" s="1519"/>
      <c r="O60" s="1519"/>
      <c r="P60" s="1519"/>
      <c r="Q60" s="1520"/>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1515"/>
      <c r="B62" s="1516"/>
      <c r="C62" s="1516"/>
      <c r="D62" s="1516"/>
      <c r="E62" s="1516"/>
      <c r="F62" s="1516"/>
      <c r="G62" s="1516"/>
      <c r="H62" s="1516"/>
      <c r="I62" s="1516"/>
      <c r="J62" s="1516"/>
      <c r="K62" s="1516"/>
      <c r="L62" s="1516"/>
      <c r="M62" s="1516"/>
      <c r="N62" s="1516"/>
      <c r="O62" s="1516"/>
      <c r="P62" s="1516"/>
      <c r="Q62" s="1517"/>
    </row>
    <row r="63" spans="1:31" ht="12" customHeight="1">
      <c r="A63" s="1533"/>
      <c r="B63" s="1534"/>
      <c r="C63" s="1534"/>
      <c r="D63" s="1534"/>
      <c r="E63" s="1534"/>
      <c r="F63" s="1534"/>
      <c r="G63" s="1534"/>
      <c r="H63" s="1534"/>
      <c r="I63" s="1534"/>
      <c r="J63" s="1534"/>
      <c r="K63" s="1534"/>
      <c r="L63" s="1534"/>
      <c r="M63" s="1534"/>
      <c r="N63" s="1534"/>
      <c r="O63" s="1534"/>
      <c r="P63" s="1534"/>
      <c r="Q63" s="1535"/>
    </row>
    <row r="64" spans="1:31" ht="4.95" customHeight="1">
      <c r="A64" s="738"/>
      <c r="B64" s="179"/>
      <c r="C64" s="740"/>
      <c r="D64" s="740"/>
      <c r="E64" s="740"/>
      <c r="F64" s="740"/>
      <c r="G64" s="740"/>
      <c r="H64" s="740"/>
      <c r="I64" s="740"/>
      <c r="J64" s="740"/>
      <c r="K64" s="740"/>
      <c r="L64" s="740"/>
      <c r="M64" s="740"/>
      <c r="N64" s="740"/>
      <c r="O64" s="740"/>
      <c r="P64" s="740"/>
      <c r="Q64" s="738"/>
    </row>
    <row r="65" spans="1:31" ht="13.95" customHeight="1">
      <c r="A65" s="742">
        <v>4</v>
      </c>
      <c r="B65" s="742" t="s">
        <v>3701</v>
      </c>
      <c r="C65" s="742"/>
      <c r="D65" s="740"/>
      <c r="E65" s="740"/>
      <c r="F65" s="740"/>
      <c r="G65" s="740"/>
      <c r="H65" s="740"/>
      <c r="I65" s="740"/>
      <c r="J65" s="740"/>
      <c r="K65" s="740"/>
      <c r="O65" s="180" t="s">
        <v>2921</v>
      </c>
      <c r="P65" s="1521"/>
      <c r="Q65" s="1522"/>
    </row>
    <row r="66" spans="1:31" ht="3" customHeight="1"/>
    <row r="67" spans="1:31" ht="12" customHeight="1">
      <c r="B67" s="57" t="s">
        <v>3058</v>
      </c>
      <c r="C67" s="195" t="s">
        <v>3728</v>
      </c>
      <c r="D67" s="182"/>
      <c r="E67" s="182"/>
      <c r="F67" s="182"/>
      <c r="G67" s="182"/>
      <c r="H67" s="182"/>
      <c r="I67" s="52"/>
      <c r="J67" s="52"/>
      <c r="K67" s="52"/>
      <c r="L67" s="62" t="s">
        <v>3058</v>
      </c>
      <c r="M67" s="1527" t="s">
        <v>3998</v>
      </c>
      <c r="N67" s="1528"/>
      <c r="O67" s="1528"/>
      <c r="P67" s="1559"/>
      <c r="Q67" s="234"/>
    </row>
    <row r="68" spans="1:31" ht="12" customHeight="1">
      <c r="B68" s="57" t="s">
        <v>3061</v>
      </c>
      <c r="C68" s="65" t="s">
        <v>3116</v>
      </c>
      <c r="D68" s="182"/>
      <c r="E68" s="182"/>
      <c r="F68" s="182"/>
      <c r="L68" s="62" t="s">
        <v>3061</v>
      </c>
      <c r="M68" s="1527" t="s">
        <v>4031</v>
      </c>
      <c r="N68" s="1528"/>
      <c r="O68" s="1528"/>
      <c r="P68" s="1559"/>
      <c r="Q68" s="234"/>
    </row>
    <row r="69" spans="1:31" ht="12" customHeight="1">
      <c r="B69" s="57" t="s">
        <v>1237</v>
      </c>
      <c r="C69" s="65" t="s">
        <v>3729</v>
      </c>
      <c r="D69" s="182"/>
      <c r="E69" s="182"/>
      <c r="F69" s="182"/>
      <c r="L69" s="62" t="s">
        <v>1237</v>
      </c>
      <c r="M69" s="1527" t="s">
        <v>4031</v>
      </c>
      <c r="N69" s="1528"/>
      <c r="O69" s="1528"/>
      <c r="P69" s="1559"/>
      <c r="Q69" s="351"/>
    </row>
    <row r="70" spans="1:31" ht="12" customHeight="1">
      <c r="B70" s="57" t="s">
        <v>3210</v>
      </c>
      <c r="C70" s="65" t="s">
        <v>3730</v>
      </c>
      <c r="D70" s="182"/>
      <c r="E70" s="182"/>
      <c r="F70" s="182"/>
      <c r="L70" s="62" t="s">
        <v>3210</v>
      </c>
      <c r="M70" s="1558">
        <v>5.8000000000000003E-2</v>
      </c>
      <c r="N70" s="1528"/>
      <c r="O70" s="1528"/>
      <c r="P70" s="1559"/>
      <c r="Q70" s="234"/>
    </row>
    <row r="71" spans="1:31" ht="22.2" customHeight="1">
      <c r="B71" s="192" t="s">
        <v>2761</v>
      </c>
      <c r="C71" s="1523" t="s">
        <v>3554</v>
      </c>
      <c r="D71" s="1539"/>
      <c r="E71" s="1539"/>
      <c r="F71" s="1539"/>
      <c r="G71" s="1539"/>
      <c r="H71" s="1539"/>
      <c r="I71" s="1539"/>
      <c r="J71" s="1539"/>
      <c r="K71" s="1539"/>
      <c r="L71" s="737"/>
      <c r="M71" s="737"/>
      <c r="O71" s="62" t="s">
        <v>2761</v>
      </c>
      <c r="P71" s="796" t="s">
        <v>3918</v>
      </c>
      <c r="Q71" s="234"/>
    </row>
    <row r="72" spans="1:31" ht="12" customHeight="1">
      <c r="B72" s="57"/>
      <c r="C72" s="65"/>
      <c r="D72" s="711" t="s">
        <v>3591</v>
      </c>
      <c r="E72" s="40" t="s">
        <v>950</v>
      </c>
      <c r="F72" s="40"/>
      <c r="G72" s="65"/>
      <c r="H72" s="711" t="s">
        <v>3591</v>
      </c>
      <c r="I72" s="40" t="s">
        <v>950</v>
      </c>
      <c r="J72" s="40"/>
      <c r="K72" s="65"/>
      <c r="L72" s="711" t="s">
        <v>3591</v>
      </c>
      <c r="M72" s="40" t="s">
        <v>950</v>
      </c>
      <c r="N72" s="40"/>
      <c r="O72" s="65"/>
      <c r="P72" s="62"/>
      <c r="Q72" s="62"/>
    </row>
    <row r="73" spans="1:31" ht="12" customHeight="1">
      <c r="B73" s="57"/>
      <c r="C73" s="65">
        <v>1</v>
      </c>
      <c r="D73" s="808"/>
      <c r="E73" s="1556"/>
      <c r="F73" s="1557"/>
      <c r="G73" s="65">
        <v>4</v>
      </c>
      <c r="H73" s="808"/>
      <c r="I73" s="1556"/>
      <c r="J73" s="1557"/>
      <c r="K73" s="65">
        <v>7</v>
      </c>
      <c r="L73" s="808"/>
      <c r="M73" s="1556"/>
      <c r="N73" s="1557"/>
      <c r="O73" s="65"/>
      <c r="P73" s="62"/>
      <c r="Q73" s="62"/>
    </row>
    <row r="74" spans="1:31" ht="12" customHeight="1">
      <c r="B74" s="57"/>
      <c r="C74" s="65">
        <v>2</v>
      </c>
      <c r="D74" s="808"/>
      <c r="E74" s="1556"/>
      <c r="F74" s="1557"/>
      <c r="G74" s="65">
        <v>5</v>
      </c>
      <c r="H74" s="808"/>
      <c r="I74" s="1556"/>
      <c r="J74" s="1557"/>
      <c r="K74" s="65">
        <v>8</v>
      </c>
      <c r="L74" s="808"/>
      <c r="M74" s="1556"/>
      <c r="N74" s="1557"/>
      <c r="O74" s="65"/>
      <c r="P74" s="62"/>
      <c r="Q74" s="62"/>
    </row>
    <row r="75" spans="1:31" ht="12" customHeight="1">
      <c r="B75" s="57"/>
      <c r="C75" s="65">
        <v>3</v>
      </c>
      <c r="D75" s="808"/>
      <c r="E75" s="1556"/>
      <c r="F75" s="1557"/>
      <c r="G75" s="65">
        <v>6</v>
      </c>
      <c r="H75" s="808"/>
      <c r="I75" s="1556"/>
      <c r="J75" s="1557"/>
      <c r="K75" s="65">
        <v>9</v>
      </c>
      <c r="L75" s="808"/>
      <c r="M75" s="1556"/>
      <c r="N75" s="1557"/>
      <c r="O75" s="65"/>
      <c r="P75" s="62"/>
      <c r="Q75" s="62"/>
    </row>
    <row r="76" spans="1:31" ht="12" customHeight="1">
      <c r="B76" s="57" t="s">
        <v>2762</v>
      </c>
      <c r="C76" s="65" t="s">
        <v>1</v>
      </c>
      <c r="D76" s="182"/>
      <c r="E76" s="182"/>
      <c r="F76" s="182"/>
      <c r="G76" s="182"/>
      <c r="H76" s="182"/>
      <c r="I76" s="52"/>
      <c r="J76" s="52"/>
      <c r="K76" s="182"/>
      <c r="L76" s="737"/>
      <c r="M76" s="737"/>
      <c r="O76" s="62" t="s">
        <v>2762</v>
      </c>
      <c r="P76" s="796" t="s">
        <v>3918</v>
      </c>
      <c r="Q76" s="234"/>
    </row>
    <row r="77" spans="1:31" ht="11.25" customHeight="1">
      <c r="B77" s="191" t="s">
        <v>2919</v>
      </c>
      <c r="D77" s="191"/>
      <c r="E77" s="191"/>
      <c r="F77" s="191"/>
      <c r="G77" s="191"/>
      <c r="H77" s="50"/>
      <c r="I77" s="179"/>
      <c r="J77" s="179"/>
      <c r="K77" s="179"/>
      <c r="L77" s="738"/>
      <c r="M77" s="738"/>
      <c r="N77" s="738"/>
      <c r="O77" s="738"/>
      <c r="P77" s="738"/>
      <c r="Q77" s="63"/>
    </row>
    <row r="78" spans="1:31" ht="22.95" customHeight="1">
      <c r="A78" s="1524" t="s">
        <v>4032</v>
      </c>
      <c r="B78" s="1525"/>
      <c r="C78" s="1525"/>
      <c r="D78" s="1525"/>
      <c r="E78" s="1525"/>
      <c r="F78" s="1525"/>
      <c r="G78" s="1525"/>
      <c r="H78" s="1525"/>
      <c r="I78" s="1525"/>
      <c r="J78" s="1525"/>
      <c r="K78" s="1525"/>
      <c r="L78" s="1525"/>
      <c r="M78" s="1525"/>
      <c r="N78" s="1525"/>
      <c r="O78" s="1525"/>
      <c r="P78" s="1525"/>
      <c r="Q78" s="1526"/>
      <c r="U78" s="185"/>
      <c r="V78" s="185"/>
      <c r="W78" s="185"/>
      <c r="X78" s="185"/>
      <c r="Y78" s="185"/>
      <c r="Z78" s="185"/>
      <c r="AA78" s="185"/>
      <c r="AB78" s="185"/>
      <c r="AC78" s="185"/>
      <c r="AD78" s="185"/>
      <c r="AE78" s="186"/>
    </row>
    <row r="79" spans="1:31" ht="51.75" customHeight="1">
      <c r="A79" s="1518" t="s">
        <v>4033</v>
      </c>
      <c r="B79" s="1519"/>
      <c r="C79" s="1519"/>
      <c r="D79" s="1519"/>
      <c r="E79" s="1519"/>
      <c r="F79" s="1519"/>
      <c r="G79" s="1519"/>
      <c r="H79" s="1519"/>
      <c r="I79" s="1519"/>
      <c r="J79" s="1519"/>
      <c r="K79" s="1519"/>
      <c r="L79" s="1519"/>
      <c r="M79" s="1519"/>
      <c r="N79" s="1519"/>
      <c r="O79" s="1519"/>
      <c r="P79" s="1519"/>
      <c r="Q79" s="1520"/>
    </row>
    <row r="80" spans="1:31" ht="11.25" customHeight="1">
      <c r="B80" s="187" t="s">
        <v>2920</v>
      </c>
      <c r="C80" s="188"/>
      <c r="D80" s="740"/>
      <c r="E80" s="740"/>
      <c r="F80" s="740"/>
      <c r="G80" s="740"/>
      <c r="H80" s="740"/>
      <c r="I80" s="740"/>
      <c r="J80" s="740"/>
      <c r="K80" s="740"/>
      <c r="L80" s="740"/>
      <c r="M80" s="740"/>
      <c r="N80" s="740"/>
      <c r="O80" s="740"/>
      <c r="P80" s="740"/>
      <c r="Q80" s="740"/>
    </row>
    <row r="81" spans="1:17" ht="22.95" customHeight="1">
      <c r="A81" s="1515"/>
      <c r="B81" s="1516"/>
      <c r="C81" s="1516"/>
      <c r="D81" s="1516"/>
      <c r="E81" s="1516"/>
      <c r="F81" s="1516"/>
      <c r="G81" s="1516"/>
      <c r="H81" s="1516"/>
      <c r="I81" s="1516"/>
      <c r="J81" s="1516"/>
      <c r="K81" s="1516"/>
      <c r="L81" s="1516"/>
      <c r="M81" s="1516"/>
      <c r="N81" s="1516"/>
      <c r="O81" s="1516"/>
      <c r="P81" s="1516"/>
      <c r="Q81" s="1517"/>
    </row>
    <row r="82" spans="1:17" ht="22.95" customHeight="1">
      <c r="A82" s="1533"/>
      <c r="B82" s="1534"/>
      <c r="C82" s="1534"/>
      <c r="D82" s="1534"/>
      <c r="E82" s="1534"/>
      <c r="F82" s="1534"/>
      <c r="G82" s="1534"/>
      <c r="H82" s="1534"/>
      <c r="I82" s="1534"/>
      <c r="J82" s="1534"/>
      <c r="K82" s="1534"/>
      <c r="L82" s="1534"/>
      <c r="M82" s="1534"/>
      <c r="N82" s="1534"/>
      <c r="O82" s="1534"/>
      <c r="P82" s="1534"/>
      <c r="Q82" s="1535"/>
    </row>
    <row r="83" spans="1:17" ht="13.95" customHeight="1">
      <c r="A83" s="742">
        <v>5</v>
      </c>
      <c r="B83" s="742" t="s">
        <v>291</v>
      </c>
      <c r="C83" s="742"/>
      <c r="D83" s="740"/>
      <c r="E83" s="740"/>
      <c r="F83" s="740"/>
      <c r="G83" s="740"/>
      <c r="H83" s="740"/>
      <c r="I83" s="740"/>
      <c r="J83" s="740"/>
      <c r="K83" s="740"/>
      <c r="L83" s="740"/>
      <c r="M83" s="740"/>
      <c r="O83" s="180" t="s">
        <v>2921</v>
      </c>
      <c r="P83" s="1521"/>
      <c r="Q83" s="1522"/>
    </row>
    <row r="84" spans="1:17" ht="3" customHeight="1"/>
    <row r="85" spans="1:17" ht="12" customHeight="1">
      <c r="B85" s="57" t="s">
        <v>3058</v>
      </c>
      <c r="C85" s="65" t="s">
        <v>728</v>
      </c>
      <c r="D85" s="65"/>
      <c r="E85" s="65"/>
      <c r="F85" s="65"/>
      <c r="G85" s="65"/>
      <c r="H85" s="65"/>
      <c r="I85" s="65"/>
      <c r="J85" s="65"/>
      <c r="K85" s="65"/>
      <c r="L85" s="65"/>
      <c r="M85" s="65"/>
      <c r="O85" s="62" t="s">
        <v>3058</v>
      </c>
      <c r="P85" s="796" t="s">
        <v>3918</v>
      </c>
      <c r="Q85" s="234"/>
    </row>
    <row r="86" spans="1:17" ht="12" customHeight="1">
      <c r="B86" s="57" t="s">
        <v>3061</v>
      </c>
      <c r="C86" s="65" t="s">
        <v>2004</v>
      </c>
      <c r="D86" s="65"/>
      <c r="E86" s="65"/>
      <c r="F86" s="65"/>
      <c r="G86" s="65"/>
      <c r="H86" s="65"/>
      <c r="I86" s="65"/>
      <c r="J86" s="65"/>
      <c r="K86" s="65"/>
      <c r="L86" s="40"/>
      <c r="M86" s="40"/>
      <c r="O86" s="62" t="s">
        <v>3061</v>
      </c>
      <c r="P86" s="796" t="s">
        <v>3918</v>
      </c>
      <c r="Q86" s="234"/>
    </row>
    <row r="87" spans="1:17" ht="12" customHeight="1">
      <c r="A87" s="181"/>
      <c r="B87" s="46"/>
      <c r="D87" s="49" t="s">
        <v>848</v>
      </c>
      <c r="E87" s="52"/>
      <c r="F87" s="52"/>
      <c r="G87" s="52"/>
      <c r="H87" s="52"/>
      <c r="I87" s="52"/>
      <c r="K87" s="49" t="s">
        <v>849</v>
      </c>
      <c r="M87" s="1605" t="s">
        <v>4000</v>
      </c>
      <c r="N87" s="1606"/>
      <c r="O87" s="1606"/>
      <c r="P87" s="1607"/>
      <c r="Q87" s="234"/>
    </row>
    <row r="88" spans="1:17" ht="22.95" customHeight="1">
      <c r="A88" s="194"/>
      <c r="B88" s="179"/>
      <c r="C88" s="203" t="s">
        <v>2763</v>
      </c>
      <c r="D88" s="1497" t="s">
        <v>678</v>
      </c>
      <c r="E88" s="913"/>
      <c r="F88" s="913"/>
      <c r="G88" s="913"/>
      <c r="H88" s="913"/>
      <c r="I88" s="913"/>
      <c r="J88" s="913"/>
      <c r="K88" s="913"/>
      <c r="L88" s="913"/>
      <c r="M88" s="913"/>
      <c r="N88" s="913"/>
      <c r="O88" s="203" t="s">
        <v>2763</v>
      </c>
      <c r="P88" s="796" t="s">
        <v>3919</v>
      </c>
      <c r="Q88" s="234"/>
    </row>
    <row r="89" spans="1:17" ht="12" customHeight="1">
      <c r="A89" s="194"/>
      <c r="B89" s="179"/>
      <c r="C89" s="83" t="s">
        <v>2764</v>
      </c>
      <c r="D89" s="65" t="s">
        <v>187</v>
      </c>
      <c r="E89" s="65"/>
      <c r="F89" s="65"/>
      <c r="G89" s="65"/>
      <c r="H89" s="65"/>
      <c r="I89" s="65"/>
      <c r="J89" s="65"/>
      <c r="K89" s="65"/>
      <c r="L89" s="65"/>
      <c r="M89" s="65"/>
      <c r="O89" s="83" t="s">
        <v>2764</v>
      </c>
      <c r="P89" s="796" t="s">
        <v>3918</v>
      </c>
      <c r="Q89" s="234"/>
    </row>
    <row r="90" spans="1:17" ht="12" customHeight="1">
      <c r="A90" s="194"/>
      <c r="B90" s="179"/>
      <c r="C90" s="83" t="s">
        <v>2765</v>
      </c>
      <c r="D90" s="65" t="s">
        <v>188</v>
      </c>
      <c r="E90" s="65"/>
      <c r="F90" s="65"/>
      <c r="G90" s="65"/>
      <c r="H90" s="65"/>
      <c r="I90" s="65"/>
      <c r="J90" s="65"/>
      <c r="K90" s="65"/>
      <c r="L90" s="65"/>
      <c r="M90" s="65"/>
      <c r="O90" s="83" t="s">
        <v>2765</v>
      </c>
      <c r="P90" s="796"/>
      <c r="Q90" s="234"/>
    </row>
    <row r="91" spans="1:17" ht="12" customHeight="1">
      <c r="B91" s="57" t="s">
        <v>1237</v>
      </c>
      <c r="C91" s="65" t="s">
        <v>191</v>
      </c>
      <c r="D91" s="65"/>
      <c r="E91" s="65"/>
      <c r="F91" s="65"/>
      <c r="G91" s="65"/>
      <c r="H91" s="65"/>
      <c r="I91" s="65"/>
      <c r="J91" s="65"/>
      <c r="K91" s="65"/>
      <c r="L91" s="65"/>
      <c r="M91" s="65"/>
      <c r="O91" s="62" t="s">
        <v>1237</v>
      </c>
      <c r="P91" s="796" t="s">
        <v>3919</v>
      </c>
      <c r="Q91" s="234"/>
    </row>
    <row r="92" spans="1:17" ht="12" customHeight="1">
      <c r="B92" s="57" t="s">
        <v>3210</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796" t="s">
        <v>3919</v>
      </c>
      <c r="Q93" s="234"/>
    </row>
    <row r="94" spans="1:17" ht="12" customHeight="1">
      <c r="B94" s="57"/>
      <c r="C94" s="83" t="s">
        <v>2764</v>
      </c>
      <c r="D94" s="65" t="s">
        <v>2149</v>
      </c>
      <c r="E94" s="65"/>
      <c r="F94" s="65"/>
      <c r="G94" s="65"/>
      <c r="H94" s="65"/>
      <c r="I94" s="65"/>
      <c r="J94" s="65"/>
      <c r="K94" s="65"/>
      <c r="L94" s="40"/>
      <c r="M94" s="40"/>
      <c r="O94" s="83" t="s">
        <v>2764</v>
      </c>
      <c r="P94" s="796" t="s">
        <v>3919</v>
      </c>
      <c r="Q94" s="234"/>
    </row>
    <row r="95" spans="1:17" ht="12" customHeight="1">
      <c r="B95" s="57"/>
      <c r="C95" s="83" t="s">
        <v>2765</v>
      </c>
      <c r="D95" s="65" t="s">
        <v>2150</v>
      </c>
      <c r="E95" s="65"/>
      <c r="F95" s="65"/>
      <c r="G95" s="65"/>
      <c r="H95" s="65"/>
      <c r="I95" s="65"/>
      <c r="J95" s="65"/>
      <c r="K95" s="65"/>
      <c r="L95" s="40"/>
      <c r="M95" s="40"/>
      <c r="O95" s="83" t="s">
        <v>2765</v>
      </c>
      <c r="P95" s="796" t="s">
        <v>3919</v>
      </c>
      <c r="Q95" s="234"/>
    </row>
    <row r="96" spans="1:17" ht="11.25" customHeight="1">
      <c r="B96" s="191" t="s">
        <v>2919</v>
      </c>
      <c r="D96" s="191"/>
      <c r="E96" s="191"/>
      <c r="F96" s="191"/>
      <c r="G96" s="191"/>
      <c r="H96" s="50"/>
      <c r="I96" s="179"/>
      <c r="J96" s="179"/>
      <c r="K96" s="179"/>
      <c r="L96" s="738"/>
      <c r="M96" s="738"/>
      <c r="N96" s="738"/>
      <c r="O96" s="738"/>
      <c r="P96" s="738"/>
      <c r="Q96" s="63"/>
    </row>
    <row r="97" spans="1:31" ht="24.75" customHeight="1">
      <c r="A97" s="1524" t="s">
        <v>4052</v>
      </c>
      <c r="B97" s="1525"/>
      <c r="C97" s="1525"/>
      <c r="D97" s="1525"/>
      <c r="E97" s="1525"/>
      <c r="F97" s="1525"/>
      <c r="G97" s="1525"/>
      <c r="H97" s="1525"/>
      <c r="I97" s="1525"/>
      <c r="J97" s="1525"/>
      <c r="K97" s="1525"/>
      <c r="L97" s="1525"/>
      <c r="M97" s="1525"/>
      <c r="N97" s="1525"/>
      <c r="O97" s="1525"/>
      <c r="P97" s="1525"/>
      <c r="Q97" s="1526"/>
      <c r="U97" s="185"/>
      <c r="V97" s="185"/>
      <c r="W97" s="185"/>
      <c r="X97" s="185"/>
      <c r="Y97" s="185"/>
      <c r="Z97" s="185"/>
      <c r="AA97" s="185"/>
      <c r="AB97" s="185"/>
      <c r="AC97" s="185"/>
      <c r="AD97" s="185"/>
      <c r="AE97" s="186"/>
    </row>
    <row r="98" spans="1:31" ht="13.2" customHeight="1">
      <c r="A98" s="1518" t="s">
        <v>4001</v>
      </c>
      <c r="B98" s="1519"/>
      <c r="C98" s="1519"/>
      <c r="D98" s="1519"/>
      <c r="E98" s="1519"/>
      <c r="F98" s="1519"/>
      <c r="G98" s="1519"/>
      <c r="H98" s="1519"/>
      <c r="I98" s="1519"/>
      <c r="J98" s="1519"/>
      <c r="K98" s="1519"/>
      <c r="L98" s="1519"/>
      <c r="M98" s="1519"/>
      <c r="N98" s="1519"/>
      <c r="O98" s="1519"/>
      <c r="P98" s="1519"/>
      <c r="Q98" s="1520"/>
    </row>
    <row r="99" spans="1:31" ht="11.25" customHeight="1">
      <c r="B99" s="187" t="s">
        <v>2920</v>
      </c>
      <c r="C99" s="188"/>
      <c r="D99" s="740"/>
      <c r="E99" s="740"/>
      <c r="F99" s="740"/>
      <c r="G99" s="740"/>
      <c r="H99" s="740"/>
      <c r="I99" s="740"/>
      <c r="J99" s="740"/>
      <c r="K99" s="740"/>
      <c r="L99" s="740"/>
      <c r="M99" s="740"/>
      <c r="N99" s="740"/>
      <c r="O99" s="740"/>
      <c r="P99" s="740"/>
      <c r="Q99" s="740"/>
    </row>
    <row r="100" spans="1:31" ht="13.2" customHeight="1">
      <c r="A100" s="1515"/>
      <c r="B100" s="1516"/>
      <c r="C100" s="1516"/>
      <c r="D100" s="1516"/>
      <c r="E100" s="1516"/>
      <c r="F100" s="1516"/>
      <c r="G100" s="1516"/>
      <c r="H100" s="1516"/>
      <c r="I100" s="1516"/>
      <c r="J100" s="1516"/>
      <c r="K100" s="1516"/>
      <c r="L100" s="1516"/>
      <c r="M100" s="1516"/>
      <c r="N100" s="1516"/>
      <c r="O100" s="1516"/>
      <c r="P100" s="1516"/>
      <c r="Q100" s="1517"/>
    </row>
    <row r="101" spans="1:31" ht="13.2" customHeight="1">
      <c r="A101" s="1533"/>
      <c r="B101" s="1534"/>
      <c r="C101" s="1534"/>
      <c r="D101" s="1534"/>
      <c r="E101" s="1534"/>
      <c r="F101" s="1534"/>
      <c r="G101" s="1534"/>
      <c r="H101" s="1534"/>
      <c r="I101" s="1534"/>
      <c r="J101" s="1534"/>
      <c r="K101" s="1534"/>
      <c r="L101" s="1534"/>
      <c r="M101" s="1534"/>
      <c r="N101" s="1534"/>
      <c r="O101" s="1534"/>
      <c r="P101" s="1534"/>
      <c r="Q101" s="1535"/>
    </row>
    <row r="102" spans="1:31" ht="4.95" customHeight="1">
      <c r="A102" s="738"/>
      <c r="B102" s="179"/>
      <c r="C102" s="740"/>
      <c r="D102" s="740"/>
      <c r="E102" s="740"/>
      <c r="F102" s="740"/>
      <c r="G102" s="740"/>
      <c r="H102" s="740"/>
      <c r="I102" s="740"/>
      <c r="J102" s="740"/>
      <c r="K102" s="740"/>
      <c r="L102" s="740"/>
      <c r="M102" s="740"/>
      <c r="N102" s="740"/>
      <c r="O102" s="740"/>
      <c r="P102" s="740"/>
      <c r="Q102" s="738"/>
    </row>
    <row r="103" spans="1:31" ht="13.95" customHeight="1">
      <c r="A103" s="742">
        <v>6</v>
      </c>
      <c r="B103" s="742" t="s">
        <v>331</v>
      </c>
      <c r="C103" s="50"/>
      <c r="D103" s="740"/>
      <c r="E103" s="740"/>
      <c r="F103" s="740"/>
      <c r="G103" s="740"/>
      <c r="H103" s="740"/>
      <c r="I103" s="740"/>
      <c r="J103" s="740"/>
      <c r="K103" s="740"/>
      <c r="L103" s="740"/>
      <c r="M103" s="740"/>
      <c r="O103" s="180" t="s">
        <v>2921</v>
      </c>
      <c r="P103" s="1521"/>
      <c r="Q103" s="1522"/>
    </row>
    <row r="104" spans="1:31" ht="6.6" customHeight="1"/>
    <row r="105" spans="1:31" ht="12" customHeight="1">
      <c r="B105" s="57" t="s">
        <v>3058</v>
      </c>
      <c r="C105" s="65" t="s">
        <v>202</v>
      </c>
      <c r="D105" s="182"/>
      <c r="E105" s="182"/>
      <c r="F105" s="182"/>
      <c r="G105" s="182"/>
      <c r="H105" s="182"/>
      <c r="I105" s="52"/>
      <c r="J105" s="52"/>
      <c r="K105" s="52"/>
      <c r="L105" s="62" t="s">
        <v>3058</v>
      </c>
      <c r="M105" s="1527" t="s">
        <v>3994</v>
      </c>
      <c r="N105" s="1528"/>
      <c r="O105" s="1528"/>
      <c r="P105" s="1529"/>
      <c r="Q105" s="234"/>
    </row>
    <row r="106" spans="1:31" ht="12" customHeight="1">
      <c r="B106" s="57" t="s">
        <v>3061</v>
      </c>
      <c r="C106" s="65" t="s">
        <v>2290</v>
      </c>
      <c r="D106" s="182"/>
      <c r="E106" s="182"/>
      <c r="F106" s="182"/>
      <c r="G106" s="182"/>
      <c r="H106" s="182"/>
      <c r="I106" s="52"/>
      <c r="J106" s="52"/>
      <c r="K106" s="182"/>
      <c r="L106" s="182"/>
      <c r="M106" s="737"/>
      <c r="O106" s="62" t="s">
        <v>3061</v>
      </c>
      <c r="P106" s="796" t="s">
        <v>3919</v>
      </c>
      <c r="Q106" s="351"/>
    </row>
    <row r="107" spans="1:31" ht="12" customHeight="1">
      <c r="B107" s="57" t="s">
        <v>1237</v>
      </c>
      <c r="C107" s="65" t="s">
        <v>205</v>
      </c>
      <c r="D107" s="182"/>
      <c r="E107" s="182"/>
      <c r="F107" s="182"/>
      <c r="G107" s="182"/>
      <c r="H107" s="182"/>
      <c r="I107" s="52"/>
      <c r="J107" s="52"/>
      <c r="K107" s="182"/>
      <c r="L107" s="737"/>
      <c r="M107" s="737"/>
      <c r="O107" s="62" t="s">
        <v>1237</v>
      </c>
      <c r="P107" s="796" t="s">
        <v>3918</v>
      </c>
      <c r="Q107" s="234"/>
    </row>
    <row r="108" spans="1:31" ht="12" customHeight="1">
      <c r="B108" s="189"/>
      <c r="C108" s="65" t="s">
        <v>2841</v>
      </c>
      <c r="D108" s="52"/>
      <c r="E108" s="52"/>
      <c r="F108" s="52"/>
      <c r="G108" s="52"/>
      <c r="H108" s="65"/>
      <c r="I108" s="52"/>
      <c r="J108" s="52"/>
      <c r="K108" s="182"/>
      <c r="L108" s="737"/>
      <c r="M108" s="737"/>
      <c r="P108" s="809">
        <v>51.1</v>
      </c>
      <c r="Q108" s="351"/>
    </row>
    <row r="109" spans="1:31" ht="12" customHeight="1">
      <c r="B109" s="189"/>
      <c r="C109" s="65" t="s">
        <v>2088</v>
      </c>
      <c r="D109" s="52"/>
      <c r="E109" s="52"/>
      <c r="F109" s="52"/>
      <c r="G109" s="52"/>
      <c r="H109" s="65"/>
      <c r="I109" s="52"/>
      <c r="J109" s="52"/>
      <c r="K109" s="182"/>
      <c r="L109" s="737"/>
      <c r="M109" s="737"/>
      <c r="N109" s="737"/>
      <c r="O109" s="737"/>
    </row>
    <row r="110" spans="1:31" ht="11.4" customHeight="1">
      <c r="B110" s="738"/>
      <c r="C110" s="1562" t="s">
        <v>4002</v>
      </c>
      <c r="D110" s="1563"/>
      <c r="E110" s="1563"/>
      <c r="F110" s="1563"/>
      <c r="G110" s="1563"/>
      <c r="H110" s="1563"/>
      <c r="I110" s="1563"/>
      <c r="J110" s="1563"/>
      <c r="K110" s="1563"/>
      <c r="L110" s="1563"/>
      <c r="M110" s="1563"/>
      <c r="N110" s="1563"/>
      <c r="O110" s="1564"/>
      <c r="P110" s="740"/>
      <c r="Q110" s="738"/>
    </row>
    <row r="111" spans="1:31" ht="12" customHeight="1">
      <c r="B111" s="57" t="s">
        <v>3210</v>
      </c>
      <c r="C111" s="65" t="s">
        <v>1943</v>
      </c>
      <c r="D111" s="182"/>
      <c r="E111" s="182"/>
      <c r="F111" s="182"/>
      <c r="G111" s="182"/>
      <c r="H111" s="182"/>
      <c r="I111" s="52"/>
      <c r="J111" s="52"/>
      <c r="K111" s="182"/>
      <c r="L111" s="737"/>
      <c r="M111" s="737"/>
      <c r="N111" s="737"/>
      <c r="O111" s="62" t="s">
        <v>3210</v>
      </c>
    </row>
    <row r="112" spans="1:31" ht="12" customHeight="1">
      <c r="B112" s="57"/>
      <c r="C112" s="83" t="s">
        <v>2763</v>
      </c>
      <c r="D112" s="65" t="s">
        <v>203</v>
      </c>
      <c r="E112" s="182"/>
      <c r="F112" s="182"/>
      <c r="G112" s="182"/>
      <c r="H112" s="182"/>
      <c r="I112" s="52"/>
      <c r="J112" s="52"/>
      <c r="K112" s="182"/>
      <c r="L112" s="737"/>
      <c r="M112" s="737"/>
      <c r="O112" s="83" t="s">
        <v>2763</v>
      </c>
      <c r="P112" s="796" t="s">
        <v>3919</v>
      </c>
      <c r="Q112" s="234"/>
    </row>
    <row r="113" spans="1:17" ht="12" customHeight="1">
      <c r="B113" s="57"/>
      <c r="C113" s="83" t="s">
        <v>2764</v>
      </c>
      <c r="D113" s="65" t="s">
        <v>1944</v>
      </c>
      <c r="E113" s="182"/>
      <c r="F113" s="182"/>
      <c r="G113" s="182"/>
      <c r="H113" s="52"/>
      <c r="I113" s="52"/>
      <c r="J113" s="52"/>
      <c r="K113" s="182"/>
      <c r="L113" s="737"/>
      <c r="M113" s="737"/>
      <c r="O113" s="83" t="s">
        <v>2764</v>
      </c>
      <c r="P113" s="809" t="s">
        <v>3919</v>
      </c>
      <c r="Q113" s="351"/>
    </row>
    <row r="114" spans="1:17" ht="12" customHeight="1">
      <c r="B114" s="57"/>
      <c r="C114" s="83"/>
      <c r="D114" s="65" t="s">
        <v>2968</v>
      </c>
      <c r="E114" s="52"/>
      <c r="F114" s="52"/>
      <c r="G114" s="52"/>
      <c r="H114" s="65"/>
      <c r="I114" s="52"/>
      <c r="J114" s="52"/>
      <c r="K114" s="182"/>
      <c r="L114" s="737"/>
      <c r="M114" s="737"/>
      <c r="O114" s="737"/>
      <c r="P114" s="810"/>
      <c r="Q114" s="457"/>
    </row>
    <row r="115" spans="1:17" ht="12" customHeight="1">
      <c r="B115" s="57"/>
      <c r="C115" s="83"/>
      <c r="D115" s="65" t="s">
        <v>3661</v>
      </c>
      <c r="E115" s="52"/>
      <c r="F115" s="52"/>
      <c r="G115" s="52"/>
      <c r="H115" s="65"/>
      <c r="I115" s="52"/>
      <c r="J115" s="52"/>
      <c r="K115" s="182"/>
      <c r="L115" s="737"/>
      <c r="M115" s="737"/>
      <c r="O115" s="737"/>
      <c r="P115" s="809"/>
      <c r="Q115" s="351"/>
    </row>
    <row r="116" spans="1:17" ht="12" customHeight="1">
      <c r="B116" s="57"/>
      <c r="C116" s="83"/>
      <c r="D116" s="65" t="s">
        <v>3242</v>
      </c>
      <c r="E116" s="52"/>
      <c r="F116" s="52"/>
      <c r="G116" s="52"/>
      <c r="H116" s="65"/>
      <c r="I116" s="52"/>
      <c r="J116" s="52"/>
      <c r="K116" s="182"/>
      <c r="L116" s="737"/>
      <c r="M116" s="737"/>
      <c r="O116" s="737"/>
      <c r="P116" s="809"/>
      <c r="Q116" s="351"/>
    </row>
    <row r="117" spans="1:17" ht="12" customHeight="1">
      <c r="B117" s="57"/>
      <c r="C117" s="83" t="s">
        <v>2765</v>
      </c>
      <c r="D117" s="65" t="s">
        <v>1945</v>
      </c>
      <c r="E117" s="182"/>
      <c r="F117" s="182"/>
      <c r="G117" s="182"/>
      <c r="H117" s="65"/>
      <c r="I117" s="52"/>
      <c r="J117" s="52"/>
      <c r="K117" s="182"/>
      <c r="L117" s="737"/>
      <c r="M117" s="737"/>
      <c r="O117" s="83" t="s">
        <v>2765</v>
      </c>
      <c r="P117" s="796" t="s">
        <v>3919</v>
      </c>
      <c r="Q117" s="234"/>
    </row>
    <row r="118" spans="1:17" ht="12" customHeight="1">
      <c r="B118" s="57"/>
      <c r="C118" s="83"/>
      <c r="D118" s="65" t="s">
        <v>1406</v>
      </c>
      <c r="E118" s="52"/>
      <c r="F118" s="52"/>
      <c r="G118" s="52"/>
      <c r="H118" s="65"/>
      <c r="I118" s="52"/>
      <c r="J118" s="52"/>
      <c r="K118" s="182"/>
      <c r="L118" s="737"/>
      <c r="M118" s="737"/>
      <c r="O118" s="737"/>
      <c r="P118" s="811"/>
      <c r="Q118" s="352"/>
    </row>
    <row r="119" spans="1:17" ht="12" customHeight="1">
      <c r="B119" s="57"/>
      <c r="C119" s="83"/>
      <c r="D119" s="65" t="s">
        <v>3243</v>
      </c>
      <c r="E119" s="52"/>
      <c r="F119" s="52"/>
      <c r="G119" s="52"/>
      <c r="H119" s="65"/>
      <c r="I119" s="52"/>
      <c r="J119" s="52"/>
      <c r="K119" s="182"/>
      <c r="L119" s="737"/>
      <c r="M119" s="737"/>
      <c r="O119" s="737"/>
      <c r="P119" s="809"/>
      <c r="Q119" s="351"/>
    </row>
    <row r="120" spans="1:17" ht="12" customHeight="1">
      <c r="B120" s="57"/>
      <c r="C120" s="83"/>
      <c r="D120" s="65" t="s">
        <v>3242</v>
      </c>
      <c r="E120" s="52"/>
      <c r="F120" s="52"/>
      <c r="G120" s="52"/>
      <c r="H120" s="65"/>
      <c r="I120" s="52"/>
      <c r="J120" s="52"/>
      <c r="K120" s="182"/>
      <c r="L120" s="737"/>
      <c r="M120" s="737"/>
      <c r="O120" s="737"/>
      <c r="P120" s="809"/>
      <c r="Q120" s="351"/>
    </row>
    <row r="121" spans="1:17" ht="12" customHeight="1">
      <c r="B121" s="46"/>
      <c r="C121" s="83" t="s">
        <v>3569</v>
      </c>
      <c r="D121" s="65" t="s">
        <v>725</v>
      </c>
      <c r="E121" s="182"/>
      <c r="F121" s="182"/>
      <c r="G121" s="182"/>
      <c r="H121" s="182"/>
      <c r="I121" s="52"/>
      <c r="J121" s="52"/>
      <c r="K121" s="182"/>
      <c r="L121" s="737"/>
      <c r="M121" s="737"/>
      <c r="O121" s="83" t="s">
        <v>3569</v>
      </c>
      <c r="P121" s="796" t="s">
        <v>3919</v>
      </c>
      <c r="Q121" s="234"/>
    </row>
    <row r="122" spans="1:17" ht="12" customHeight="1">
      <c r="B122" s="57" t="s">
        <v>2761</v>
      </c>
      <c r="C122" s="196" t="s">
        <v>3656</v>
      </c>
      <c r="D122" s="182"/>
      <c r="E122" s="182"/>
      <c r="F122" s="182"/>
      <c r="G122" s="182"/>
      <c r="H122" s="182"/>
      <c r="I122" s="52"/>
      <c r="J122" s="52"/>
      <c r="K122" s="182"/>
      <c r="L122" s="737"/>
      <c r="M122" s="737"/>
      <c r="N122" s="737"/>
      <c r="O122" s="62" t="s">
        <v>2761</v>
      </c>
      <c r="P122" s="796" t="s">
        <v>3919</v>
      </c>
      <c r="Q122" s="234"/>
    </row>
    <row r="123" spans="1:17" ht="12" customHeight="1">
      <c r="B123" s="57"/>
      <c r="C123" s="83" t="s">
        <v>2763</v>
      </c>
      <c r="D123" s="65" t="s">
        <v>3657</v>
      </c>
      <c r="E123" s="182"/>
      <c r="F123" s="796" t="s">
        <v>3919</v>
      </c>
      <c r="G123" s="234"/>
      <c r="H123" s="83" t="s">
        <v>2765</v>
      </c>
      <c r="I123" s="65" t="s">
        <v>2304</v>
      </c>
      <c r="J123" s="796" t="s">
        <v>3919</v>
      </c>
      <c r="K123" s="234"/>
      <c r="L123" s="83" t="s">
        <v>2302</v>
      </c>
      <c r="M123" s="65" t="s">
        <v>3619</v>
      </c>
      <c r="N123" s="796" t="s">
        <v>3919</v>
      </c>
      <c r="O123" s="234"/>
    </row>
    <row r="124" spans="1:17" ht="12" customHeight="1">
      <c r="B124" s="46"/>
      <c r="C124" s="83" t="s">
        <v>2764</v>
      </c>
      <c r="D124" s="65" t="s">
        <v>3773</v>
      </c>
      <c r="E124" s="182"/>
      <c r="F124" s="796" t="s">
        <v>3919</v>
      </c>
      <c r="G124" s="234"/>
      <c r="H124" s="83" t="s">
        <v>3569</v>
      </c>
      <c r="I124" s="65" t="s">
        <v>2305</v>
      </c>
      <c r="J124" s="796" t="s">
        <v>3919</v>
      </c>
      <c r="K124" s="234"/>
      <c r="L124" s="83" t="s">
        <v>2303</v>
      </c>
      <c r="M124" s="65" t="s">
        <v>2306</v>
      </c>
      <c r="N124" s="796" t="s">
        <v>3919</v>
      </c>
      <c r="O124" s="234"/>
    </row>
    <row r="125" spans="1:17" ht="12" customHeight="1">
      <c r="B125" s="46"/>
      <c r="C125" s="83" t="s">
        <v>112</v>
      </c>
      <c r="D125" s="65" t="s">
        <v>53</v>
      </c>
      <c r="E125" s="182"/>
      <c r="F125" s="182"/>
      <c r="G125" s="182"/>
      <c r="H125" s="182"/>
      <c r="J125" s="1527" t="s">
        <v>4003</v>
      </c>
      <c r="K125" s="1528"/>
      <c r="L125" s="1528"/>
      <c r="M125" s="1528"/>
      <c r="N125" s="1528"/>
      <c r="O125" s="1529"/>
    </row>
    <row r="126" spans="1:17" ht="12" customHeight="1">
      <c r="B126" s="57" t="s">
        <v>2762</v>
      </c>
      <c r="C126" s="65" t="s">
        <v>1982</v>
      </c>
      <c r="D126" s="182"/>
      <c r="E126" s="182"/>
      <c r="F126" s="182"/>
      <c r="G126" s="182"/>
      <c r="H126" s="182"/>
      <c r="I126" s="52"/>
      <c r="J126" s="52"/>
      <c r="K126" s="182"/>
      <c r="L126" s="182"/>
      <c r="M126" s="737"/>
      <c r="O126" s="62" t="s">
        <v>2762</v>
      </c>
      <c r="P126" s="796" t="s">
        <v>1579</v>
      </c>
      <c r="Q126" s="234"/>
    </row>
    <row r="127" spans="1:17" ht="12" customHeight="1">
      <c r="A127" s="194"/>
      <c r="B127" s="52"/>
      <c r="C127" s="83" t="s">
        <v>2763</v>
      </c>
      <c r="D127" s="65" t="s">
        <v>1078</v>
      </c>
      <c r="E127" s="182"/>
      <c r="F127" s="182"/>
      <c r="G127" s="182"/>
      <c r="H127" s="182"/>
      <c r="O127" s="83" t="s">
        <v>2763</v>
      </c>
      <c r="P127" s="796"/>
      <c r="Q127" s="234"/>
    </row>
    <row r="128" spans="1:17" ht="12" customHeight="1">
      <c r="A128" s="194"/>
      <c r="B128" s="179"/>
      <c r="C128" s="83" t="s">
        <v>2764</v>
      </c>
      <c r="D128" s="65" t="s">
        <v>724</v>
      </c>
      <c r="E128" s="65"/>
      <c r="F128" s="65"/>
      <c r="G128" s="65"/>
      <c r="H128" s="65"/>
      <c r="I128" s="52"/>
      <c r="J128" s="52"/>
      <c r="K128" s="65"/>
      <c r="L128" s="65"/>
      <c r="M128" s="65"/>
      <c r="O128" s="83" t="s">
        <v>2764</v>
      </c>
      <c r="P128" s="796"/>
      <c r="Q128" s="234"/>
    </row>
    <row r="129" spans="1:31" ht="12" customHeight="1">
      <c r="A129" s="194"/>
      <c r="B129" s="179"/>
      <c r="C129" s="83" t="s">
        <v>2765</v>
      </c>
      <c r="D129" s="65" t="s">
        <v>1030</v>
      </c>
      <c r="E129" s="65"/>
      <c r="F129" s="65"/>
      <c r="G129" s="65"/>
      <c r="H129" s="65"/>
      <c r="I129" s="52"/>
      <c r="J129" s="52"/>
      <c r="K129" s="65"/>
      <c r="L129" s="65"/>
      <c r="M129" s="65"/>
      <c r="O129" s="83" t="s">
        <v>2765</v>
      </c>
      <c r="P129" s="796"/>
      <c r="Q129" s="234"/>
    </row>
    <row r="130" spans="1:31" ht="12" customHeight="1">
      <c r="B130" s="57" t="s">
        <v>3018</v>
      </c>
      <c r="C130" s="65" t="s">
        <v>2780</v>
      </c>
      <c r="D130" s="182"/>
      <c r="E130" s="182"/>
      <c r="F130" s="182"/>
      <c r="G130" s="182"/>
      <c r="H130" s="182"/>
      <c r="I130" s="52"/>
      <c r="J130" s="52"/>
      <c r="K130" s="182"/>
      <c r="L130" s="182"/>
      <c r="M130" s="737"/>
      <c r="O130" s="62" t="s">
        <v>3018</v>
      </c>
      <c r="P130" s="796" t="s">
        <v>1579</v>
      </c>
      <c r="Q130" s="234"/>
    </row>
    <row r="131" spans="1:31" ht="4.95" customHeight="1"/>
    <row r="132" spans="1:31" ht="11.25" customHeight="1">
      <c r="B132" s="191" t="s">
        <v>2919</v>
      </c>
      <c r="D132" s="191"/>
      <c r="E132" s="191"/>
      <c r="F132" s="191"/>
      <c r="G132" s="191"/>
      <c r="H132" s="50"/>
      <c r="I132" s="179"/>
      <c r="J132" s="179"/>
      <c r="K132" s="179"/>
      <c r="L132" s="738"/>
      <c r="M132" s="738"/>
      <c r="N132" s="738"/>
      <c r="O132" s="738"/>
      <c r="P132" s="738"/>
      <c r="Q132" s="63"/>
    </row>
    <row r="133" spans="1:31" ht="12" customHeight="1">
      <c r="A133" s="1524"/>
      <c r="B133" s="1525"/>
      <c r="C133" s="1525"/>
      <c r="D133" s="1525"/>
      <c r="E133" s="1525"/>
      <c r="F133" s="1525"/>
      <c r="G133" s="1525"/>
      <c r="H133" s="1525"/>
      <c r="I133" s="1525"/>
      <c r="J133" s="1525"/>
      <c r="K133" s="1525"/>
      <c r="L133" s="1525"/>
      <c r="M133" s="1525"/>
      <c r="N133" s="1525"/>
      <c r="O133" s="1525"/>
      <c r="P133" s="1525"/>
      <c r="Q133" s="1526"/>
      <c r="R133" s="1540" t="s">
        <v>1931</v>
      </c>
      <c r="S133" s="1540"/>
      <c r="U133" s="185"/>
      <c r="V133" s="185"/>
      <c r="W133" s="185"/>
      <c r="X133" s="185"/>
      <c r="Y133" s="185"/>
      <c r="Z133" s="185"/>
      <c r="AA133" s="185"/>
      <c r="AB133" s="185"/>
      <c r="AC133" s="185"/>
      <c r="AD133" s="185"/>
      <c r="AE133" s="186"/>
    </row>
    <row r="134" spans="1:31" ht="12" customHeight="1">
      <c r="A134" s="1544"/>
      <c r="B134" s="1545"/>
      <c r="C134" s="1545"/>
      <c r="D134" s="1545"/>
      <c r="E134" s="1545"/>
      <c r="F134" s="1545"/>
      <c r="G134" s="1545"/>
      <c r="H134" s="1545"/>
      <c r="I134" s="1545"/>
      <c r="J134" s="1545"/>
      <c r="K134" s="1545"/>
      <c r="L134" s="1545"/>
      <c r="M134" s="1545"/>
      <c r="N134" s="1545"/>
      <c r="O134" s="1545"/>
      <c r="P134" s="1545"/>
      <c r="Q134" s="1546"/>
      <c r="R134" s="1540"/>
      <c r="S134" s="1540"/>
    </row>
    <row r="135" spans="1:31" ht="12" customHeight="1">
      <c r="A135" s="1518"/>
      <c r="B135" s="1519"/>
      <c r="C135" s="1519"/>
      <c r="D135" s="1519"/>
      <c r="E135" s="1519"/>
      <c r="F135" s="1519"/>
      <c r="G135" s="1519"/>
      <c r="H135" s="1519"/>
      <c r="I135" s="1519"/>
      <c r="J135" s="1519"/>
      <c r="K135" s="1519"/>
      <c r="L135" s="1519"/>
      <c r="M135" s="1519"/>
      <c r="N135" s="1519"/>
      <c r="O135" s="1519"/>
      <c r="P135" s="1519"/>
      <c r="Q135" s="1520"/>
      <c r="R135" s="1540"/>
      <c r="S135" s="1540"/>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1515"/>
      <c r="B137" s="1516"/>
      <c r="C137" s="1516"/>
      <c r="D137" s="1516"/>
      <c r="E137" s="1516"/>
      <c r="F137" s="1516"/>
      <c r="G137" s="1516"/>
      <c r="H137" s="1516"/>
      <c r="I137" s="1516"/>
      <c r="J137" s="1516"/>
      <c r="K137" s="1516"/>
      <c r="L137" s="1516"/>
      <c r="M137" s="1516"/>
      <c r="N137" s="1516"/>
      <c r="O137" s="1516"/>
      <c r="P137" s="1516"/>
      <c r="Q137" s="1517"/>
      <c r="R137" s="1540" t="s">
        <v>1931</v>
      </c>
      <c r="S137" s="1540"/>
    </row>
    <row r="138" spans="1:31" ht="12" customHeight="1">
      <c r="A138" s="1547"/>
      <c r="B138" s="1548"/>
      <c r="C138" s="1548"/>
      <c r="D138" s="1548"/>
      <c r="E138" s="1548"/>
      <c r="F138" s="1548"/>
      <c r="G138" s="1548"/>
      <c r="H138" s="1548"/>
      <c r="I138" s="1548"/>
      <c r="J138" s="1548"/>
      <c r="K138" s="1548"/>
      <c r="L138" s="1548"/>
      <c r="M138" s="1548"/>
      <c r="N138" s="1548"/>
      <c r="O138" s="1548"/>
      <c r="P138" s="1548"/>
      <c r="Q138" s="1549"/>
      <c r="R138" s="1540"/>
      <c r="S138" s="1540"/>
    </row>
    <row r="139" spans="1:31" ht="12" customHeight="1">
      <c r="A139" s="1533"/>
      <c r="B139" s="1534"/>
      <c r="C139" s="1534"/>
      <c r="D139" s="1534"/>
      <c r="E139" s="1534"/>
      <c r="F139" s="1534"/>
      <c r="G139" s="1534"/>
      <c r="H139" s="1534"/>
      <c r="I139" s="1534"/>
      <c r="J139" s="1534"/>
      <c r="K139" s="1534"/>
      <c r="L139" s="1534"/>
      <c r="M139" s="1534"/>
      <c r="N139" s="1534"/>
      <c r="O139" s="1534"/>
      <c r="P139" s="1534"/>
      <c r="Q139" s="1535"/>
      <c r="R139" s="1540"/>
      <c r="S139" s="1540"/>
    </row>
    <row r="140" spans="1:31" ht="8.4" customHeight="1">
      <c r="A140" s="738"/>
      <c r="B140" s="179"/>
      <c r="C140" s="740"/>
      <c r="D140" s="740"/>
      <c r="E140" s="740"/>
      <c r="F140" s="740"/>
      <c r="G140" s="740"/>
      <c r="H140" s="740"/>
      <c r="I140" s="740"/>
      <c r="J140" s="740"/>
      <c r="K140" s="740"/>
      <c r="L140" s="740"/>
      <c r="M140" s="740"/>
      <c r="N140" s="740"/>
      <c r="O140" s="740"/>
      <c r="P140" s="740"/>
      <c r="Q140" s="738"/>
    </row>
    <row r="141" spans="1:31" ht="13.95" customHeight="1">
      <c r="A141" s="742">
        <v>7</v>
      </c>
      <c r="B141" s="742" t="s">
        <v>1599</v>
      </c>
      <c r="C141" s="742"/>
      <c r="D141" s="740"/>
      <c r="E141" s="740"/>
      <c r="F141" s="740"/>
      <c r="G141" s="740"/>
      <c r="H141" s="740"/>
      <c r="I141" s="740"/>
      <c r="J141" s="740"/>
      <c r="K141" s="740"/>
      <c r="O141" s="180" t="s">
        <v>2921</v>
      </c>
      <c r="P141" s="1521"/>
      <c r="Q141" s="1522"/>
    </row>
    <row r="142" spans="1:31" ht="10.95" customHeight="1">
      <c r="B142" s="57" t="s">
        <v>3058</v>
      </c>
      <c r="C142" s="65" t="s">
        <v>3118</v>
      </c>
      <c r="D142" s="65"/>
      <c r="E142" s="65"/>
      <c r="F142" s="65"/>
      <c r="G142" s="65"/>
      <c r="H142" s="65"/>
      <c r="N142" s="65"/>
      <c r="O142" s="62" t="s">
        <v>3058</v>
      </c>
      <c r="P142" s="796" t="s">
        <v>3918</v>
      </c>
      <c r="Q142" s="234"/>
    </row>
    <row r="143" spans="1:31" ht="12" customHeight="1">
      <c r="A143" s="189"/>
      <c r="B143" s="57" t="s">
        <v>3061</v>
      </c>
      <c r="C143" s="190" t="s">
        <v>204</v>
      </c>
      <c r="D143" s="190"/>
      <c r="E143" s="190"/>
      <c r="F143" s="190"/>
      <c r="G143" s="190"/>
      <c r="H143" s="190"/>
      <c r="M143" s="62" t="s">
        <v>3061</v>
      </c>
      <c r="N143" s="1629" t="s">
        <v>3995</v>
      </c>
      <c r="O143" s="1568"/>
      <c r="P143" s="1577"/>
      <c r="Q143" s="1578"/>
    </row>
    <row r="144" spans="1:31" ht="12" customHeight="1">
      <c r="A144" s="189"/>
      <c r="B144" s="57" t="s">
        <v>1237</v>
      </c>
      <c r="C144" s="190" t="s">
        <v>1031</v>
      </c>
      <c r="D144" s="190"/>
      <c r="E144" s="190"/>
      <c r="F144" s="190"/>
      <c r="G144" s="190"/>
      <c r="H144" s="190"/>
      <c r="J144" s="62" t="s">
        <v>1237</v>
      </c>
      <c r="K144" s="1626" t="s">
        <v>3932</v>
      </c>
      <c r="L144" s="1627"/>
      <c r="M144" s="1627"/>
      <c r="N144" s="1627"/>
      <c r="O144" s="1628"/>
      <c r="P144" s="796" t="s">
        <v>3918</v>
      </c>
      <c r="Q144" s="234"/>
    </row>
    <row r="145" spans="1:31" ht="12" customHeight="1">
      <c r="B145" s="191" t="s">
        <v>2919</v>
      </c>
      <c r="D145" s="191"/>
      <c r="E145" s="191"/>
      <c r="F145" s="191"/>
      <c r="G145" s="191"/>
      <c r="H145" s="50"/>
      <c r="I145" s="179"/>
      <c r="J145" s="179"/>
      <c r="K145" s="179"/>
      <c r="L145" s="738"/>
      <c r="M145" s="738"/>
      <c r="N145" s="738"/>
      <c r="O145" s="738"/>
      <c r="P145" s="738"/>
      <c r="Q145" s="63"/>
    </row>
    <row r="146" spans="1:31" ht="11.4" customHeight="1">
      <c r="A146" s="1524" t="s">
        <v>4042</v>
      </c>
      <c r="B146" s="1525"/>
      <c r="C146" s="1525"/>
      <c r="D146" s="1525"/>
      <c r="E146" s="1525"/>
      <c r="F146" s="1525"/>
      <c r="G146" s="1525"/>
      <c r="H146" s="1525"/>
      <c r="I146" s="1525"/>
      <c r="J146" s="1525"/>
      <c r="K146" s="1525"/>
      <c r="L146" s="1525"/>
      <c r="M146" s="1525"/>
      <c r="N146" s="1525"/>
      <c r="O146" s="1525"/>
      <c r="P146" s="1525"/>
      <c r="Q146" s="1526"/>
      <c r="U146" s="185"/>
      <c r="V146" s="185"/>
      <c r="W146" s="185"/>
      <c r="X146" s="185"/>
      <c r="Y146" s="185"/>
      <c r="Z146" s="185"/>
      <c r="AA146" s="185"/>
      <c r="AB146" s="185"/>
      <c r="AC146" s="185"/>
      <c r="AD146" s="185"/>
      <c r="AE146" s="186"/>
    </row>
    <row r="147" spans="1:31" ht="11.4" customHeight="1">
      <c r="A147" s="1518"/>
      <c r="B147" s="1519"/>
      <c r="C147" s="1519"/>
      <c r="D147" s="1519"/>
      <c r="E147" s="1519"/>
      <c r="F147" s="1519"/>
      <c r="G147" s="1519"/>
      <c r="H147" s="1519"/>
      <c r="I147" s="1519"/>
      <c r="J147" s="1519"/>
      <c r="K147" s="1519"/>
      <c r="L147" s="1519"/>
      <c r="M147" s="1519"/>
      <c r="N147" s="1519"/>
      <c r="O147" s="1519"/>
      <c r="P147" s="1519"/>
      <c r="Q147" s="1520"/>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 customHeight="1">
      <c r="A149" s="1515"/>
      <c r="B149" s="1516"/>
      <c r="C149" s="1516"/>
      <c r="D149" s="1516"/>
      <c r="E149" s="1516"/>
      <c r="F149" s="1516"/>
      <c r="G149" s="1516"/>
      <c r="H149" s="1516"/>
      <c r="I149" s="1516"/>
      <c r="J149" s="1516"/>
      <c r="K149" s="1516"/>
      <c r="L149" s="1516"/>
      <c r="M149" s="1516"/>
      <c r="N149" s="1516"/>
      <c r="O149" s="1516"/>
      <c r="P149" s="1516"/>
      <c r="Q149" s="1517"/>
    </row>
    <row r="150" spans="1:31" ht="11.4" customHeight="1">
      <c r="A150" s="1533"/>
      <c r="B150" s="1534"/>
      <c r="C150" s="1534"/>
      <c r="D150" s="1534"/>
      <c r="E150" s="1534"/>
      <c r="F150" s="1534"/>
      <c r="G150" s="1534"/>
      <c r="H150" s="1534"/>
      <c r="I150" s="1534"/>
      <c r="J150" s="1534"/>
      <c r="K150" s="1534"/>
      <c r="L150" s="1534"/>
      <c r="M150" s="1534"/>
      <c r="N150" s="1534"/>
      <c r="O150" s="1534"/>
      <c r="P150" s="1534"/>
      <c r="Q150" s="1535"/>
    </row>
    <row r="151" spans="1:31" ht="3" customHeight="1">
      <c r="A151" s="738"/>
      <c r="B151" s="179"/>
      <c r="C151" s="740"/>
      <c r="D151" s="740"/>
      <c r="E151" s="740"/>
      <c r="F151" s="740"/>
      <c r="G151" s="740"/>
      <c r="H151" s="740"/>
      <c r="I151" s="740"/>
      <c r="J151" s="740"/>
      <c r="K151" s="740"/>
      <c r="L151" s="740"/>
      <c r="M151" s="740"/>
      <c r="Q151" s="738"/>
    </row>
    <row r="152" spans="1:31" ht="13.95" customHeight="1">
      <c r="A152" s="742">
        <v>8</v>
      </c>
      <c r="B152" s="742" t="s">
        <v>682</v>
      </c>
      <c r="C152" s="742"/>
      <c r="D152" s="740"/>
      <c r="E152" s="740"/>
      <c r="F152" s="740"/>
      <c r="G152" s="740"/>
      <c r="H152" s="740"/>
      <c r="I152" s="740"/>
      <c r="J152" s="740"/>
      <c r="K152" s="740"/>
      <c r="L152" s="740"/>
      <c r="M152" s="740"/>
      <c r="O152" s="180" t="s">
        <v>2921</v>
      </c>
      <c r="P152" s="1521"/>
      <c r="Q152" s="1522"/>
    </row>
    <row r="153" spans="1:31" ht="12" customHeight="1">
      <c r="B153" s="192" t="s">
        <v>3058</v>
      </c>
      <c r="C153" s="190" t="s">
        <v>109</v>
      </c>
      <c r="D153" s="190"/>
      <c r="E153" s="190"/>
      <c r="F153" s="190"/>
      <c r="G153" s="190"/>
      <c r="H153" s="190"/>
      <c r="I153" s="190"/>
      <c r="J153" s="190"/>
      <c r="K153" s="190"/>
      <c r="L153" s="197"/>
      <c r="M153" s="197"/>
      <c r="N153" s="197"/>
      <c r="O153" s="221" t="s">
        <v>3058</v>
      </c>
      <c r="P153" s="796" t="s">
        <v>3918</v>
      </c>
      <c r="Q153" s="234"/>
    </row>
    <row r="154" spans="1:31" ht="22.2" customHeight="1">
      <c r="B154" s="192" t="s">
        <v>3061</v>
      </c>
      <c r="C154" s="1523" t="s">
        <v>3789</v>
      </c>
      <c r="D154" s="1523"/>
      <c r="E154" s="1523"/>
      <c r="F154" s="1523"/>
      <c r="G154" s="1523"/>
      <c r="H154" s="1523"/>
      <c r="I154" s="1523"/>
      <c r="J154" s="1523"/>
      <c r="K154" s="1523"/>
      <c r="L154" s="1523"/>
      <c r="M154" s="1523"/>
      <c r="N154" s="1523"/>
      <c r="O154" s="221" t="s">
        <v>3061</v>
      </c>
      <c r="P154" s="796"/>
      <c r="Q154" s="234"/>
    </row>
    <row r="155" spans="1:31" ht="12" customHeight="1">
      <c r="B155" s="191" t="s">
        <v>2919</v>
      </c>
      <c r="D155" s="191"/>
      <c r="E155" s="191"/>
      <c r="F155" s="191"/>
      <c r="G155" s="191"/>
      <c r="H155" s="50"/>
      <c r="I155" s="179"/>
      <c r="J155" s="179"/>
      <c r="K155" s="179"/>
      <c r="L155" s="738"/>
      <c r="M155" s="738"/>
      <c r="N155" s="738"/>
      <c r="O155" s="738"/>
      <c r="P155" s="738"/>
      <c r="Q155" s="63"/>
    </row>
    <row r="156" spans="1:31" ht="11.4" customHeight="1">
      <c r="A156" s="1524" t="s">
        <v>4004</v>
      </c>
      <c r="B156" s="1525"/>
      <c r="C156" s="1525"/>
      <c r="D156" s="1525"/>
      <c r="E156" s="1525"/>
      <c r="F156" s="1525"/>
      <c r="G156" s="1525"/>
      <c r="H156" s="1525"/>
      <c r="I156" s="1525"/>
      <c r="J156" s="1525"/>
      <c r="K156" s="1525"/>
      <c r="L156" s="1525"/>
      <c r="M156" s="1525"/>
      <c r="N156" s="1525"/>
      <c r="O156" s="1525"/>
      <c r="P156" s="1525"/>
      <c r="Q156" s="1526"/>
      <c r="U156" s="185"/>
      <c r="V156" s="185"/>
      <c r="W156" s="185"/>
      <c r="X156" s="185"/>
      <c r="Y156" s="185"/>
      <c r="Z156" s="185"/>
      <c r="AA156" s="185"/>
      <c r="AB156" s="185"/>
      <c r="AC156" s="185"/>
      <c r="AD156" s="185"/>
      <c r="AE156" s="186"/>
    </row>
    <row r="157" spans="1:31" ht="11.4" customHeight="1">
      <c r="A157" s="1518"/>
      <c r="B157" s="1519"/>
      <c r="C157" s="1519"/>
      <c r="D157" s="1519"/>
      <c r="E157" s="1519"/>
      <c r="F157" s="1519"/>
      <c r="G157" s="1519"/>
      <c r="H157" s="1519"/>
      <c r="I157" s="1519"/>
      <c r="J157" s="1519"/>
      <c r="K157" s="1519"/>
      <c r="L157" s="1519"/>
      <c r="M157" s="1519"/>
      <c r="N157" s="1519"/>
      <c r="O157" s="1519"/>
      <c r="P157" s="1519"/>
      <c r="Q157" s="1520"/>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 customHeight="1">
      <c r="A159" s="1515"/>
      <c r="B159" s="1516"/>
      <c r="C159" s="1516"/>
      <c r="D159" s="1516"/>
      <c r="E159" s="1516"/>
      <c r="F159" s="1516"/>
      <c r="G159" s="1516"/>
      <c r="H159" s="1516"/>
      <c r="I159" s="1516"/>
      <c r="J159" s="1516"/>
      <c r="K159" s="1516"/>
      <c r="L159" s="1516"/>
      <c r="M159" s="1516"/>
      <c r="N159" s="1516"/>
      <c r="O159" s="1516"/>
      <c r="P159" s="1516"/>
      <c r="Q159" s="1517"/>
    </row>
    <row r="160" spans="1:31" ht="11.4" customHeight="1">
      <c r="A160" s="1533"/>
      <c r="B160" s="1534"/>
      <c r="C160" s="1534"/>
      <c r="D160" s="1534"/>
      <c r="E160" s="1534"/>
      <c r="F160" s="1534"/>
      <c r="G160" s="1534"/>
      <c r="H160" s="1534"/>
      <c r="I160" s="1534"/>
      <c r="J160" s="1534"/>
      <c r="K160" s="1534"/>
      <c r="L160" s="1534"/>
      <c r="M160" s="1534"/>
      <c r="N160" s="1534"/>
      <c r="O160" s="1534"/>
      <c r="P160" s="1534"/>
      <c r="Q160" s="1535"/>
    </row>
    <row r="161" spans="1:31" ht="3" customHeight="1">
      <c r="B161" s="179"/>
      <c r="C161" s="740"/>
      <c r="D161" s="740"/>
      <c r="E161" s="740"/>
      <c r="F161" s="740"/>
      <c r="G161" s="740"/>
      <c r="H161" s="740"/>
      <c r="I161" s="740"/>
      <c r="J161" s="740"/>
      <c r="K161" s="740"/>
      <c r="L161" s="740"/>
      <c r="M161" s="740"/>
      <c r="N161" s="740"/>
      <c r="O161" s="740"/>
      <c r="P161" s="740"/>
      <c r="Q161" s="738"/>
    </row>
    <row r="162" spans="1:31" ht="13.95" customHeight="1">
      <c r="A162" s="198">
        <v>9</v>
      </c>
      <c r="B162" s="1572" t="s">
        <v>332</v>
      </c>
      <c r="C162" s="1572"/>
      <c r="D162" s="1572"/>
      <c r="O162" s="180" t="s">
        <v>2921</v>
      </c>
      <c r="P162" s="1521"/>
      <c r="Q162" s="1522"/>
    </row>
    <row r="163" spans="1:31" ht="12" customHeight="1">
      <c r="B163" s="192" t="s">
        <v>3058</v>
      </c>
      <c r="C163" s="197" t="s">
        <v>696</v>
      </c>
      <c r="D163" s="197"/>
      <c r="E163" s="197"/>
      <c r="F163" s="197"/>
      <c r="G163" s="197"/>
      <c r="H163" s="197"/>
      <c r="I163" s="197"/>
      <c r="J163" s="197"/>
      <c r="K163" s="197"/>
      <c r="L163" s="197"/>
      <c r="M163" s="197"/>
      <c r="O163" s="221" t="s">
        <v>3058</v>
      </c>
      <c r="P163" s="796" t="s">
        <v>3918</v>
      </c>
      <c r="Q163" s="234"/>
    </row>
    <row r="164" spans="1:31" ht="12" customHeight="1">
      <c r="B164" s="192" t="s">
        <v>3061</v>
      </c>
      <c r="C164" s="190" t="s">
        <v>720</v>
      </c>
      <c r="D164" s="190"/>
      <c r="E164" s="190"/>
      <c r="F164" s="190"/>
      <c r="G164" s="190"/>
      <c r="H164" s="190"/>
      <c r="I164" s="190"/>
      <c r="J164" s="190"/>
      <c r="K164" s="190"/>
      <c r="L164" s="190"/>
      <c r="M164" s="190"/>
      <c r="O164" s="221" t="s">
        <v>3061</v>
      </c>
      <c r="P164" s="796" t="s">
        <v>3918</v>
      </c>
      <c r="Q164" s="234"/>
    </row>
    <row r="165" spans="1:31" ht="12" customHeight="1">
      <c r="B165" s="192" t="s">
        <v>1237</v>
      </c>
      <c r="C165" s="197" t="s">
        <v>927</v>
      </c>
      <c r="D165" s="197"/>
      <c r="E165" s="197"/>
      <c r="F165" s="197"/>
      <c r="G165" s="197"/>
      <c r="H165" s="197"/>
      <c r="I165" s="197"/>
      <c r="J165" s="197"/>
      <c r="K165" s="197"/>
      <c r="L165" s="197"/>
      <c r="M165" s="197"/>
      <c r="O165" s="221" t="s">
        <v>1237</v>
      </c>
      <c r="P165" s="796" t="s">
        <v>3918</v>
      </c>
      <c r="Q165" s="234"/>
    </row>
    <row r="166" spans="1:31" ht="12" customHeight="1">
      <c r="B166" s="192" t="s">
        <v>3210</v>
      </c>
      <c r="C166" s="197" t="s">
        <v>928</v>
      </c>
      <c r="D166" s="197"/>
      <c r="E166" s="197"/>
      <c r="F166" s="197"/>
      <c r="G166" s="197"/>
      <c r="H166" s="197"/>
      <c r="I166" s="197"/>
      <c r="J166" s="197"/>
      <c r="K166" s="197"/>
      <c r="L166" s="197"/>
      <c r="M166" s="197"/>
      <c r="O166" s="221" t="s">
        <v>3210</v>
      </c>
      <c r="P166" s="796" t="s">
        <v>3918</v>
      </c>
      <c r="Q166" s="234"/>
    </row>
    <row r="167" spans="1:31" ht="12" customHeight="1">
      <c r="B167" s="192" t="s">
        <v>2761</v>
      </c>
      <c r="C167" s="197" t="s">
        <v>3592</v>
      </c>
      <c r="D167" s="197"/>
      <c r="E167" s="197"/>
      <c r="F167" s="197"/>
      <c r="G167" s="197"/>
      <c r="H167" s="197"/>
      <c r="I167" s="197"/>
      <c r="J167" s="197"/>
      <c r="K167" s="197"/>
      <c r="L167" s="197"/>
      <c r="M167" s="197"/>
      <c r="O167" s="221" t="s">
        <v>2761</v>
      </c>
      <c r="P167" s="796" t="s">
        <v>3918</v>
      </c>
      <c r="Q167" s="234"/>
    </row>
    <row r="168" spans="1:31" ht="12" customHeight="1">
      <c r="B168" s="191" t="s">
        <v>2919</v>
      </c>
      <c r="D168" s="191"/>
      <c r="E168" s="191"/>
      <c r="F168" s="191"/>
      <c r="G168" s="191"/>
      <c r="H168" s="50"/>
      <c r="I168" s="179"/>
      <c r="J168" s="179"/>
      <c r="K168" s="179"/>
      <c r="L168" s="738"/>
      <c r="M168" s="738"/>
      <c r="N168" s="738"/>
      <c r="O168" s="738"/>
      <c r="P168" s="738"/>
      <c r="Q168" s="63"/>
    </row>
    <row r="169" spans="1:31" ht="21.75" customHeight="1">
      <c r="A169" s="1524" t="s">
        <v>4005</v>
      </c>
      <c r="B169" s="1525"/>
      <c r="C169" s="1525"/>
      <c r="D169" s="1525"/>
      <c r="E169" s="1525"/>
      <c r="F169" s="1525"/>
      <c r="G169" s="1525"/>
      <c r="H169" s="1525"/>
      <c r="I169" s="1525"/>
      <c r="J169" s="1525"/>
      <c r="K169" s="1525"/>
      <c r="L169" s="1525"/>
      <c r="M169" s="1525"/>
      <c r="N169" s="1525"/>
      <c r="O169" s="1525"/>
      <c r="P169" s="1525"/>
      <c r="Q169" s="1526"/>
      <c r="U169" s="185"/>
      <c r="V169" s="185"/>
      <c r="W169" s="185"/>
      <c r="X169" s="185"/>
      <c r="Y169" s="185"/>
      <c r="Z169" s="185"/>
      <c r="AA169" s="185"/>
      <c r="AB169" s="185"/>
      <c r="AC169" s="185"/>
      <c r="AD169" s="185"/>
      <c r="AE169" s="186"/>
    </row>
    <row r="170" spans="1:31" ht="11.4" customHeight="1">
      <c r="A170" s="1518"/>
      <c r="B170" s="1519"/>
      <c r="C170" s="1519"/>
      <c r="D170" s="1519"/>
      <c r="E170" s="1519"/>
      <c r="F170" s="1519"/>
      <c r="G170" s="1519"/>
      <c r="H170" s="1519"/>
      <c r="I170" s="1519"/>
      <c r="J170" s="1519"/>
      <c r="K170" s="1519"/>
      <c r="L170" s="1519"/>
      <c r="M170" s="1519"/>
      <c r="N170" s="1519"/>
      <c r="O170" s="1519"/>
      <c r="P170" s="1519"/>
      <c r="Q170" s="1520"/>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 customHeight="1">
      <c r="A172" s="1515"/>
      <c r="B172" s="1516"/>
      <c r="C172" s="1516"/>
      <c r="D172" s="1516"/>
      <c r="E172" s="1516"/>
      <c r="F172" s="1516"/>
      <c r="G172" s="1516"/>
      <c r="H172" s="1516"/>
      <c r="I172" s="1516"/>
      <c r="J172" s="1516"/>
      <c r="K172" s="1516"/>
      <c r="L172" s="1516"/>
      <c r="M172" s="1516"/>
      <c r="N172" s="1516"/>
      <c r="O172" s="1516"/>
      <c r="P172" s="1516"/>
      <c r="Q172" s="1517"/>
    </row>
    <row r="173" spans="1:31" ht="11.4" customHeight="1">
      <c r="A173" s="1533"/>
      <c r="B173" s="1534"/>
      <c r="C173" s="1534"/>
      <c r="D173" s="1534"/>
      <c r="E173" s="1534"/>
      <c r="F173" s="1534"/>
      <c r="G173" s="1534"/>
      <c r="H173" s="1534"/>
      <c r="I173" s="1534"/>
      <c r="J173" s="1534"/>
      <c r="K173" s="1534"/>
      <c r="L173" s="1534"/>
      <c r="M173" s="1534"/>
      <c r="N173" s="1534"/>
      <c r="O173" s="1534"/>
      <c r="P173" s="1534"/>
      <c r="Q173" s="1535"/>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5" customHeight="1">
      <c r="A175" s="742">
        <v>10</v>
      </c>
      <c r="B175" s="742" t="s">
        <v>348</v>
      </c>
      <c r="C175" s="742"/>
      <c r="D175" s="740"/>
      <c r="E175" s="199"/>
      <c r="F175" s="199"/>
      <c r="G175" s="740"/>
      <c r="J175" s="1608"/>
      <c r="K175" s="1608"/>
      <c r="L175" s="1608"/>
      <c r="M175" s="1608"/>
      <c r="N175" s="1608"/>
      <c r="O175" s="180" t="s">
        <v>2921</v>
      </c>
      <c r="P175" s="1521"/>
      <c r="Q175" s="1522"/>
    </row>
    <row r="176" spans="1:31" ht="12" customHeight="1">
      <c r="A176" s="189"/>
      <c r="B176" s="57" t="s">
        <v>3058</v>
      </c>
      <c r="C176" s="1523" t="s">
        <v>110</v>
      </c>
      <c r="D176" s="1523"/>
      <c r="E176" s="1523"/>
      <c r="F176" s="1523"/>
      <c r="G176" s="1523"/>
      <c r="H176" s="83" t="s">
        <v>2763</v>
      </c>
      <c r="I176" s="65" t="s">
        <v>206</v>
      </c>
      <c r="J176" s="1527" t="s">
        <v>1579</v>
      </c>
      <c r="K176" s="1528"/>
      <c r="L176" s="1528"/>
      <c r="M176" s="1528"/>
      <c r="N176" s="1529"/>
      <c r="O176" s="83" t="s">
        <v>2763</v>
      </c>
      <c r="P176" s="796"/>
      <c r="Q176" s="234"/>
    </row>
    <row r="177" spans="1:31" ht="12" customHeight="1">
      <c r="A177" s="189"/>
      <c r="B177" s="179"/>
      <c r="C177" s="141"/>
      <c r="D177" s="141"/>
      <c r="E177" s="141"/>
      <c r="F177" s="141"/>
      <c r="H177" s="83" t="s">
        <v>2764</v>
      </c>
      <c r="I177" s="65" t="s">
        <v>2356</v>
      </c>
      <c r="J177" s="1527" t="s">
        <v>4006</v>
      </c>
      <c r="K177" s="1528"/>
      <c r="L177" s="1528"/>
      <c r="M177" s="1528"/>
      <c r="N177" s="1529"/>
      <c r="O177" s="83" t="s">
        <v>2764</v>
      </c>
      <c r="P177" s="796" t="s">
        <v>3918</v>
      </c>
      <c r="Q177" s="234"/>
    </row>
    <row r="178" spans="1:31" ht="12" customHeight="1">
      <c r="B178" s="191" t="s">
        <v>2919</v>
      </c>
      <c r="D178" s="191"/>
      <c r="E178" s="191"/>
      <c r="F178" s="191"/>
      <c r="G178" s="191"/>
      <c r="J178" s="179"/>
      <c r="K178" s="179"/>
      <c r="L178" s="738"/>
      <c r="M178" s="738"/>
      <c r="N178" s="738"/>
      <c r="O178" s="738"/>
      <c r="P178" s="738"/>
      <c r="Q178" s="63"/>
    </row>
    <row r="179" spans="1:31" ht="11.4" customHeight="1">
      <c r="A179" s="1530" t="s">
        <v>4007</v>
      </c>
      <c r="B179" s="1531"/>
      <c r="C179" s="1531"/>
      <c r="D179" s="1531"/>
      <c r="E179" s="1531"/>
      <c r="F179" s="1531"/>
      <c r="G179" s="1531"/>
      <c r="H179" s="1531"/>
      <c r="I179" s="1531"/>
      <c r="J179" s="1531"/>
      <c r="K179" s="1531"/>
      <c r="L179" s="1531"/>
      <c r="M179" s="1531"/>
      <c r="N179" s="1531"/>
      <c r="O179" s="1531"/>
      <c r="P179" s="1531"/>
      <c r="Q179" s="1532"/>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 customHeight="1">
      <c r="A181" s="1573"/>
      <c r="B181" s="1574"/>
      <c r="C181" s="1574"/>
      <c r="D181" s="1574"/>
      <c r="E181" s="1574"/>
      <c r="F181" s="1574"/>
      <c r="G181" s="1574"/>
      <c r="H181" s="1574"/>
      <c r="I181" s="1574"/>
      <c r="J181" s="1574"/>
      <c r="K181" s="1574"/>
      <c r="L181" s="1574"/>
      <c r="M181" s="1574"/>
      <c r="N181" s="1574"/>
      <c r="O181" s="1574"/>
      <c r="P181" s="1574"/>
      <c r="Q181" s="1575"/>
    </row>
    <row r="182" spans="1:31" ht="4.2" customHeight="1">
      <c r="B182" s="179"/>
      <c r="C182" s="740"/>
      <c r="D182" s="740"/>
      <c r="E182" s="740"/>
      <c r="F182" s="740"/>
      <c r="G182" s="740"/>
      <c r="H182" s="740"/>
      <c r="I182" s="740"/>
      <c r="J182" s="740"/>
      <c r="K182" s="740"/>
      <c r="L182" s="740"/>
      <c r="M182" s="740"/>
      <c r="Q182" s="63"/>
    </row>
    <row r="183" spans="1:31" ht="13.95" customHeight="1">
      <c r="A183" s="742">
        <v>11</v>
      </c>
      <c r="B183" s="5" t="s">
        <v>3700</v>
      </c>
      <c r="C183" s="5"/>
      <c r="D183" s="118"/>
      <c r="E183" s="118"/>
      <c r="F183" s="118"/>
      <c r="G183" s="740"/>
      <c r="H183" s="740"/>
      <c r="I183" s="740"/>
      <c r="J183" s="740"/>
      <c r="K183" s="740"/>
      <c r="L183" s="740"/>
      <c r="M183" s="740"/>
      <c r="O183" s="180" t="s">
        <v>2921</v>
      </c>
      <c r="P183" s="1521"/>
      <c r="Q183" s="1522"/>
    </row>
    <row r="184" spans="1:31" ht="4.2" customHeight="1"/>
    <row r="185" spans="1:31" ht="11.4" customHeight="1">
      <c r="B185" s="192" t="s">
        <v>3058</v>
      </c>
      <c r="C185" s="667" t="s">
        <v>2763</v>
      </c>
      <c r="D185" s="666" t="s">
        <v>800</v>
      </c>
      <c r="E185" s="666"/>
      <c r="F185" s="666"/>
      <c r="G185" s="666"/>
      <c r="H185" s="666"/>
      <c r="I185" s="666"/>
      <c r="J185" s="666"/>
      <c r="K185" s="666"/>
      <c r="L185" s="666"/>
      <c r="M185" s="666"/>
      <c r="N185" s="666"/>
      <c r="O185" s="221" t="s">
        <v>2229</v>
      </c>
      <c r="P185" s="796" t="s">
        <v>3919</v>
      </c>
      <c r="Q185" s="234"/>
    </row>
    <row r="186" spans="1:31" ht="11.4" customHeight="1">
      <c r="B186" s="192"/>
      <c r="C186" s="667" t="s">
        <v>2764</v>
      </c>
      <c r="D186" s="666" t="s">
        <v>2199</v>
      </c>
      <c r="E186" s="666"/>
      <c r="F186" s="666"/>
      <c r="G186" s="666"/>
      <c r="H186" s="666"/>
      <c r="I186" s="666"/>
      <c r="J186" s="666"/>
      <c r="K186" s="666"/>
      <c r="L186" s="666"/>
      <c r="M186" s="666"/>
      <c r="N186" s="666"/>
      <c r="O186" s="221" t="s">
        <v>2764</v>
      </c>
      <c r="P186" s="796"/>
      <c r="Q186" s="234"/>
    </row>
    <row r="187" spans="1:31" ht="11.4" customHeight="1">
      <c r="A187" s="189"/>
      <c r="B187" s="192" t="s">
        <v>3061</v>
      </c>
      <c r="C187" s="1523" t="s">
        <v>2901</v>
      </c>
      <c r="D187" s="1523"/>
      <c r="E187" s="1523"/>
      <c r="F187" s="1523"/>
      <c r="G187" s="1523"/>
      <c r="H187" s="83" t="s">
        <v>2763</v>
      </c>
      <c r="I187" s="65" t="s">
        <v>970</v>
      </c>
      <c r="J187" s="1527" t="s">
        <v>3967</v>
      </c>
      <c r="K187" s="1528"/>
      <c r="L187" s="1528"/>
      <c r="M187" s="1528"/>
      <c r="N187" s="1529"/>
      <c r="O187" s="83" t="s">
        <v>2169</v>
      </c>
      <c r="P187" s="796" t="s">
        <v>3918</v>
      </c>
      <c r="Q187" s="234"/>
    </row>
    <row r="188" spans="1:31" ht="11.4" customHeight="1">
      <c r="A188" s="189"/>
      <c r="B188" s="746"/>
      <c r="C188" s="1523"/>
      <c r="D188" s="1523"/>
      <c r="E188" s="1523"/>
      <c r="F188" s="1523"/>
      <c r="G188" s="1523"/>
      <c r="H188" s="83" t="s">
        <v>2764</v>
      </c>
      <c r="I188" s="65" t="s">
        <v>131</v>
      </c>
      <c r="J188" s="1527" t="s">
        <v>3967</v>
      </c>
      <c r="K188" s="1528"/>
      <c r="L188" s="1528"/>
      <c r="M188" s="1528"/>
      <c r="N188" s="1529"/>
      <c r="O188" s="83" t="s">
        <v>2764</v>
      </c>
      <c r="P188" s="796" t="s">
        <v>3918</v>
      </c>
      <c r="Q188" s="234"/>
    </row>
    <row r="189" spans="1:31" ht="11.25" customHeight="1">
      <c r="B189" s="191" t="s">
        <v>2919</v>
      </c>
      <c r="D189" s="191"/>
      <c r="E189" s="191"/>
      <c r="F189" s="191"/>
      <c r="G189" s="191"/>
      <c r="H189" s="50"/>
      <c r="I189" s="179"/>
      <c r="J189" s="179"/>
      <c r="K189" s="179"/>
      <c r="L189" s="738"/>
      <c r="M189" s="738"/>
      <c r="N189" s="738"/>
      <c r="O189" s="738"/>
      <c r="P189" s="738"/>
      <c r="Q189" s="63"/>
    </row>
    <row r="190" spans="1:31" ht="11.4" customHeight="1">
      <c r="A190" s="1530"/>
      <c r="B190" s="1531"/>
      <c r="C190" s="1531"/>
      <c r="D190" s="1531"/>
      <c r="E190" s="1531"/>
      <c r="F190" s="1531"/>
      <c r="G190" s="1531"/>
      <c r="H190" s="1531"/>
      <c r="I190" s="1531"/>
      <c r="J190" s="1531"/>
      <c r="K190" s="1531"/>
      <c r="L190" s="1531"/>
      <c r="M190" s="1531"/>
      <c r="N190" s="1531"/>
      <c r="O190" s="1531"/>
      <c r="P190" s="1531"/>
      <c r="Q190" s="1532"/>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 customHeight="1">
      <c r="A192" s="1573"/>
      <c r="B192" s="1574"/>
      <c r="C192" s="1574"/>
      <c r="D192" s="1574"/>
      <c r="E192" s="1574"/>
      <c r="F192" s="1574"/>
      <c r="G192" s="1574"/>
      <c r="H192" s="1574"/>
      <c r="I192" s="1574"/>
      <c r="J192" s="1574"/>
      <c r="K192" s="1574"/>
      <c r="L192" s="1574"/>
      <c r="M192" s="1574"/>
      <c r="N192" s="1574"/>
      <c r="O192" s="1574"/>
      <c r="P192" s="1574"/>
      <c r="Q192" s="1575"/>
    </row>
    <row r="193" spans="1:31" ht="3" customHeight="1">
      <c r="A193" s="738"/>
      <c r="B193" s="179"/>
      <c r="C193" s="740"/>
      <c r="D193" s="740"/>
      <c r="E193" s="740"/>
      <c r="F193" s="740"/>
      <c r="G193" s="740"/>
      <c r="H193" s="740"/>
      <c r="I193" s="740"/>
      <c r="J193" s="740"/>
      <c r="K193" s="740"/>
      <c r="L193" s="740"/>
      <c r="M193" s="740"/>
      <c r="Q193" s="738"/>
    </row>
    <row r="194" spans="1:31" ht="13.95" customHeight="1">
      <c r="A194" s="742">
        <v>12</v>
      </c>
      <c r="B194" s="5" t="s">
        <v>192</v>
      </c>
      <c r="C194" s="5"/>
      <c r="D194" s="118"/>
      <c r="E194" s="118"/>
      <c r="F194" s="118"/>
      <c r="G194" s="118"/>
      <c r="H194" s="740"/>
      <c r="I194" s="740"/>
      <c r="J194" s="740"/>
      <c r="K194" s="740"/>
      <c r="L194" s="740"/>
      <c r="M194" s="740"/>
      <c r="O194" s="180" t="s">
        <v>2921</v>
      </c>
      <c r="P194" s="1521"/>
      <c r="Q194" s="1522"/>
    </row>
    <row r="195" spans="1:31" ht="10.95" customHeight="1">
      <c r="B195" s="195" t="s">
        <v>193</v>
      </c>
    </row>
    <row r="196" spans="1:31" ht="11.4" customHeight="1">
      <c r="B196" s="57" t="s">
        <v>3058</v>
      </c>
      <c r="C196" s="65" t="s">
        <v>197</v>
      </c>
      <c r="D196" s="52"/>
      <c r="E196" s="65"/>
      <c r="F196" s="65"/>
      <c r="G196" s="65"/>
      <c r="H196" s="65"/>
      <c r="I196" s="52"/>
      <c r="J196" s="52"/>
      <c r="K196" s="52"/>
      <c r="L196" s="197"/>
      <c r="M196" s="197"/>
      <c r="O196" s="221" t="s">
        <v>3058</v>
      </c>
      <c r="P196" s="796" t="s">
        <v>3918</v>
      </c>
      <c r="Q196" s="234"/>
    </row>
    <row r="197" spans="1:31" ht="11.4" customHeight="1">
      <c r="B197" s="57" t="s">
        <v>3061</v>
      </c>
      <c r="C197" s="65" t="s">
        <v>194</v>
      </c>
      <c r="D197" s="65"/>
      <c r="E197" s="65"/>
      <c r="F197" s="65"/>
      <c r="G197" s="65"/>
      <c r="H197" s="65"/>
      <c r="I197" s="52"/>
      <c r="J197" s="52"/>
      <c r="K197" s="52"/>
      <c r="L197" s="190"/>
      <c r="M197" s="190"/>
      <c r="O197" s="221" t="s">
        <v>3061</v>
      </c>
      <c r="P197" s="796" t="s">
        <v>3918</v>
      </c>
      <c r="Q197" s="234"/>
    </row>
    <row r="198" spans="1:31" s="200" customFormat="1" ht="11.4" customHeight="1">
      <c r="B198" s="57" t="s">
        <v>1237</v>
      </c>
      <c r="C198" s="65" t="s">
        <v>195</v>
      </c>
      <c r="D198" s="65"/>
      <c r="E198" s="65"/>
      <c r="F198" s="65"/>
      <c r="G198" s="65"/>
      <c r="H198" s="65"/>
      <c r="I198" s="129"/>
      <c r="J198" s="129"/>
      <c r="K198" s="129"/>
      <c r="L198" s="197"/>
      <c r="M198" s="197"/>
      <c r="N198" s="45"/>
      <c r="O198" s="221" t="s">
        <v>1237</v>
      </c>
      <c r="P198" s="796" t="s">
        <v>3918</v>
      </c>
      <c r="Q198" s="234"/>
    </row>
    <row r="199" spans="1:31" s="200" customFormat="1" ht="11.4" customHeight="1">
      <c r="B199" s="57" t="s">
        <v>3210</v>
      </c>
      <c r="C199" s="65" t="s">
        <v>196</v>
      </c>
      <c r="D199" s="65"/>
      <c r="E199" s="65"/>
      <c r="F199" s="65"/>
      <c r="G199" s="65"/>
      <c r="H199" s="65"/>
      <c r="I199" s="129"/>
      <c r="J199" s="129"/>
      <c r="K199" s="129"/>
      <c r="L199" s="129"/>
      <c r="M199" s="129"/>
      <c r="O199" s="62" t="s">
        <v>3210</v>
      </c>
      <c r="P199" s="796" t="s">
        <v>3919</v>
      </c>
      <c r="Q199" s="234"/>
    </row>
    <row r="200" spans="1:31" ht="11.25" customHeight="1">
      <c r="B200" s="191" t="s">
        <v>2919</v>
      </c>
      <c r="D200" s="191"/>
      <c r="E200" s="191"/>
      <c r="F200" s="191"/>
      <c r="G200" s="191"/>
      <c r="H200" s="50"/>
      <c r="I200" s="179"/>
      <c r="J200" s="179"/>
      <c r="K200" s="179"/>
      <c r="L200" s="738"/>
      <c r="M200" s="738"/>
      <c r="N200" s="738"/>
      <c r="O200" s="738"/>
      <c r="P200" s="738"/>
      <c r="Q200" s="63"/>
    </row>
    <row r="201" spans="1:31" ht="13.5" customHeight="1">
      <c r="A201" s="1524" t="s">
        <v>4008</v>
      </c>
      <c r="B201" s="1525"/>
      <c r="C201" s="1525"/>
      <c r="D201" s="1525"/>
      <c r="E201" s="1525"/>
      <c r="F201" s="1525"/>
      <c r="G201" s="1525"/>
      <c r="H201" s="1525"/>
      <c r="I201" s="1525"/>
      <c r="J201" s="1525"/>
      <c r="K201" s="1525"/>
      <c r="L201" s="1525"/>
      <c r="M201" s="1525"/>
      <c r="N201" s="1525"/>
      <c r="O201" s="1525"/>
      <c r="P201" s="1525"/>
      <c r="Q201" s="1526"/>
      <c r="R201" s="1540" t="s">
        <v>1931</v>
      </c>
      <c r="S201" s="1540"/>
      <c r="U201" s="185"/>
      <c r="V201" s="185"/>
      <c r="W201" s="185"/>
      <c r="X201" s="185"/>
      <c r="Y201" s="185"/>
      <c r="Z201" s="185"/>
      <c r="AA201" s="185"/>
      <c r="AB201" s="185"/>
      <c r="AC201" s="185"/>
      <c r="AD201" s="185"/>
      <c r="AE201" s="186"/>
    </row>
    <row r="202" spans="1:31" ht="13.2" customHeight="1">
      <c r="A202" s="1518"/>
      <c r="B202" s="1519"/>
      <c r="C202" s="1519"/>
      <c r="D202" s="1519"/>
      <c r="E202" s="1519"/>
      <c r="F202" s="1519"/>
      <c r="G202" s="1519"/>
      <c r="H202" s="1519"/>
      <c r="I202" s="1519"/>
      <c r="J202" s="1519"/>
      <c r="K202" s="1519"/>
      <c r="L202" s="1519"/>
      <c r="M202" s="1519"/>
      <c r="N202" s="1519"/>
      <c r="O202" s="1519"/>
      <c r="P202" s="1519"/>
      <c r="Q202" s="1520"/>
      <c r="R202" s="1540"/>
      <c r="S202" s="1540"/>
    </row>
    <row r="203" spans="1:31" s="31" customFormat="1" ht="3" customHeight="1">
      <c r="C203" s="134"/>
      <c r="D203" s="134"/>
      <c r="R203" s="1540"/>
      <c r="S203" s="1540"/>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2" customHeight="1">
      <c r="A205" s="1515"/>
      <c r="B205" s="1516"/>
      <c r="C205" s="1516"/>
      <c r="D205" s="1516"/>
      <c r="E205" s="1516"/>
      <c r="F205" s="1516"/>
      <c r="G205" s="1516"/>
      <c r="H205" s="1516"/>
      <c r="I205" s="1516"/>
      <c r="J205" s="1516"/>
      <c r="K205" s="1516"/>
      <c r="L205" s="1516"/>
      <c r="M205" s="1516"/>
      <c r="N205" s="1516"/>
      <c r="O205" s="1516"/>
      <c r="P205" s="1516"/>
      <c r="Q205" s="1517"/>
    </row>
    <row r="206" spans="1:31" ht="13.2" customHeight="1">
      <c r="A206" s="1533"/>
      <c r="B206" s="1534"/>
      <c r="C206" s="1534"/>
      <c r="D206" s="1534"/>
      <c r="E206" s="1534"/>
      <c r="F206" s="1534"/>
      <c r="G206" s="1534"/>
      <c r="H206" s="1534"/>
      <c r="I206" s="1534"/>
      <c r="J206" s="1534"/>
      <c r="K206" s="1534"/>
      <c r="L206" s="1534"/>
      <c r="M206" s="1534"/>
      <c r="N206" s="1534"/>
      <c r="O206" s="1534"/>
      <c r="P206" s="1534"/>
      <c r="Q206" s="1535"/>
    </row>
    <row r="207" spans="1:31" ht="3" customHeight="1">
      <c r="A207" s="738"/>
      <c r="B207" s="179"/>
      <c r="C207" s="740"/>
      <c r="D207" s="740"/>
      <c r="E207" s="740"/>
      <c r="F207" s="740"/>
      <c r="G207" s="740"/>
      <c r="H207" s="740"/>
      <c r="I207" s="740"/>
      <c r="J207" s="740"/>
      <c r="K207" s="740"/>
      <c r="L207" s="740"/>
      <c r="M207" s="740"/>
      <c r="Q207" s="738"/>
    </row>
    <row r="208" spans="1:31" ht="13.95" customHeight="1">
      <c r="A208" s="742">
        <v>13</v>
      </c>
      <c r="B208" s="742" t="s">
        <v>680</v>
      </c>
      <c r="C208" s="153"/>
      <c r="D208" s="740"/>
      <c r="E208" s="740"/>
      <c r="F208" s="740"/>
      <c r="G208" s="740"/>
      <c r="H208" s="740"/>
      <c r="I208" s="740"/>
      <c r="J208" s="740"/>
      <c r="K208" s="740"/>
      <c r="L208" s="740"/>
      <c r="M208" s="740"/>
      <c r="O208" s="180" t="s">
        <v>2921</v>
      </c>
      <c r="P208" s="1521"/>
      <c r="Q208" s="1522"/>
    </row>
    <row r="209" spans="1:19" s="31" customFormat="1" ht="11.4" customHeight="1">
      <c r="B209" s="195" t="s">
        <v>1837</v>
      </c>
      <c r="N209" s="165"/>
      <c r="P209" s="796" t="s">
        <v>3919</v>
      </c>
      <c r="Q209" s="234"/>
    </row>
    <row r="210" spans="1:19" ht="12" customHeight="1">
      <c r="B210" s="57" t="s">
        <v>3058</v>
      </c>
      <c r="C210" s="118" t="s">
        <v>2085</v>
      </c>
      <c r="D210" s="52"/>
      <c r="E210" s="52"/>
      <c r="F210" s="52"/>
      <c r="G210" s="52"/>
      <c r="H210" s="52"/>
      <c r="I210" s="52"/>
      <c r="J210" s="52"/>
      <c r="K210" s="52"/>
      <c r="L210" s="52"/>
      <c r="M210" s="52"/>
    </row>
    <row r="211" spans="1:19" ht="11.4" customHeight="1">
      <c r="B211" s="57"/>
      <c r="C211" s="83" t="s">
        <v>2763</v>
      </c>
      <c r="D211" s="65" t="s">
        <v>3001</v>
      </c>
      <c r="E211" s="65"/>
      <c r="F211" s="65"/>
      <c r="G211" s="65"/>
      <c r="H211" s="65"/>
      <c r="I211" s="52"/>
      <c r="J211" s="52"/>
      <c r="K211" s="52"/>
      <c r="L211" s="83" t="s">
        <v>2229</v>
      </c>
      <c r="M211" s="1527" t="s">
        <v>824</v>
      </c>
      <c r="N211" s="1528"/>
      <c r="O211" s="1529"/>
      <c r="P211" s="796" t="s">
        <v>3993</v>
      </c>
      <c r="Q211" s="234"/>
    </row>
    <row r="212" spans="1:19" ht="11.4" customHeight="1">
      <c r="B212" s="57"/>
      <c r="C212" s="83" t="s">
        <v>2764</v>
      </c>
      <c r="D212" s="40" t="s">
        <v>198</v>
      </c>
      <c r="E212" s="40"/>
      <c r="F212" s="40"/>
      <c r="G212" s="40"/>
      <c r="H212" s="40"/>
      <c r="I212" s="52"/>
      <c r="J212" s="52"/>
      <c r="K212" s="52"/>
      <c r="L212" s="83" t="s">
        <v>2230</v>
      </c>
      <c r="M212" s="1527" t="s">
        <v>4009</v>
      </c>
      <c r="N212" s="1528"/>
      <c r="O212" s="1529"/>
      <c r="P212" s="796" t="s">
        <v>3993</v>
      </c>
      <c r="Q212" s="234"/>
    </row>
    <row r="213" spans="1:19" ht="11.4" customHeight="1">
      <c r="B213" s="57"/>
      <c r="C213" s="83" t="s">
        <v>2765</v>
      </c>
      <c r="D213" s="40" t="s">
        <v>854</v>
      </c>
      <c r="E213" s="40"/>
      <c r="F213" s="40"/>
      <c r="G213" s="40"/>
      <c r="H213" s="40"/>
      <c r="I213" s="52"/>
      <c r="J213" s="52"/>
      <c r="K213" s="52"/>
      <c r="L213" s="83" t="s">
        <v>2231</v>
      </c>
      <c r="M213" s="1536" t="s">
        <v>4010</v>
      </c>
      <c r="N213" s="1537"/>
      <c r="O213" s="1538"/>
      <c r="P213" s="796" t="s">
        <v>3993</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796" t="s">
        <v>3993</v>
      </c>
      <c r="Q215" s="234"/>
    </row>
    <row r="216" spans="1:19" ht="10.95" customHeight="1">
      <c r="B216" s="57"/>
      <c r="C216" s="65" t="s">
        <v>3790</v>
      </c>
      <c r="D216" s="65"/>
      <c r="E216" s="65"/>
      <c r="F216" s="65"/>
      <c r="G216" s="65"/>
      <c r="H216" s="65"/>
      <c r="I216" s="65"/>
      <c r="J216" s="65"/>
      <c r="K216" s="52"/>
      <c r="L216" s="52"/>
      <c r="M216" s="52"/>
      <c r="N216" s="52"/>
      <c r="O216" s="52"/>
      <c r="P216" s="1625" t="s">
        <v>4</v>
      </c>
      <c r="Q216" s="1625"/>
    </row>
    <row r="217" spans="1:19" ht="10.95"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 customHeight="1">
      <c r="A218" s="129"/>
      <c r="B218" s="64"/>
      <c r="C218" s="83" t="s">
        <v>2763</v>
      </c>
      <c r="D218" s="1524" t="s">
        <v>3199</v>
      </c>
      <c r="E218" s="1525"/>
      <c r="F218" s="1525"/>
      <c r="G218" s="1525"/>
      <c r="H218" s="1526"/>
      <c r="I218" s="456"/>
      <c r="J218" s="294"/>
      <c r="K218" s="83" t="s">
        <v>2765</v>
      </c>
      <c r="L218" s="1524"/>
      <c r="M218" s="1525"/>
      <c r="N218" s="1525"/>
      <c r="O218" s="1526"/>
      <c r="P218" s="354"/>
      <c r="Q218" s="294"/>
    </row>
    <row r="219" spans="1:19" s="53" customFormat="1" ht="11.4" customHeight="1">
      <c r="A219" s="129"/>
      <c r="B219" s="64"/>
      <c r="C219" s="83" t="s">
        <v>2764</v>
      </c>
      <c r="D219" s="1518" t="s">
        <v>2642</v>
      </c>
      <c r="E219" s="1519"/>
      <c r="F219" s="1519"/>
      <c r="G219" s="1519"/>
      <c r="H219" s="1520"/>
      <c r="I219" s="689"/>
      <c r="J219" s="295"/>
      <c r="K219" s="83" t="s">
        <v>3569</v>
      </c>
      <c r="L219" s="1518"/>
      <c r="M219" s="1519"/>
      <c r="N219" s="1519"/>
      <c r="O219" s="1520"/>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796" t="s">
        <v>3993</v>
      </c>
      <c r="Q221" s="234"/>
    </row>
    <row r="222" spans="1:19" ht="11.4" customHeight="1">
      <c r="B222" s="57"/>
      <c r="C222" s="83" t="s">
        <v>2763</v>
      </c>
      <c r="D222" s="65" t="s">
        <v>207</v>
      </c>
      <c r="E222" s="65"/>
      <c r="F222" s="65"/>
      <c r="G222" s="65"/>
      <c r="H222" s="65"/>
      <c r="I222" s="52"/>
      <c r="J222" s="42"/>
      <c r="K222" s="52"/>
      <c r="L222" s="42"/>
      <c r="M222" s="42"/>
      <c r="O222" s="83" t="s">
        <v>2763</v>
      </c>
      <c r="P222" s="796" t="s">
        <v>3918</v>
      </c>
      <c r="Q222" s="234"/>
    </row>
    <row r="223" spans="1:19" ht="11.4" customHeight="1">
      <c r="C223" s="83" t="s">
        <v>2764</v>
      </c>
      <c r="D223" s="40" t="s">
        <v>2646</v>
      </c>
      <c r="E223" s="40"/>
      <c r="F223" s="40"/>
      <c r="G223" s="40"/>
      <c r="H223" s="40"/>
      <c r="I223" s="52"/>
      <c r="J223" s="42"/>
      <c r="K223" s="52"/>
      <c r="L223" s="42"/>
      <c r="M223" s="42"/>
      <c r="O223" s="83" t="s">
        <v>2764</v>
      </c>
      <c r="P223" s="796" t="s">
        <v>3918</v>
      </c>
      <c r="Q223" s="234"/>
    </row>
    <row r="224" spans="1:19" ht="11.4" customHeight="1">
      <c r="C224" s="83" t="s">
        <v>2765</v>
      </c>
      <c r="D224" s="40" t="s">
        <v>2255</v>
      </c>
      <c r="E224" s="40"/>
      <c r="F224" s="40"/>
      <c r="G224" s="40"/>
      <c r="H224" s="40"/>
      <c r="I224" s="52"/>
      <c r="J224" s="42"/>
      <c r="K224" s="52"/>
      <c r="L224" s="42"/>
      <c r="M224" s="42"/>
      <c r="O224" s="83" t="s">
        <v>2765</v>
      </c>
      <c r="P224" s="796" t="s">
        <v>3918</v>
      </c>
      <c r="Q224" s="234"/>
    </row>
    <row r="225" spans="1:31" ht="11.4" customHeight="1">
      <c r="B225" s="57"/>
      <c r="C225" s="83" t="s">
        <v>3569</v>
      </c>
      <c r="D225" s="40" t="s">
        <v>208</v>
      </c>
      <c r="E225" s="40"/>
      <c r="F225" s="40"/>
      <c r="G225" s="40"/>
      <c r="H225" s="40"/>
      <c r="I225" s="52"/>
      <c r="J225" s="42"/>
      <c r="K225" s="52"/>
      <c r="L225" s="42"/>
      <c r="M225" s="42"/>
      <c r="O225" s="83" t="s">
        <v>3569</v>
      </c>
      <c r="P225" s="796" t="s">
        <v>3918</v>
      </c>
      <c r="Q225" s="234"/>
    </row>
    <row r="226" spans="1:31" ht="11.4" customHeight="1">
      <c r="B226" s="57"/>
      <c r="C226" s="83" t="s">
        <v>2302</v>
      </c>
      <c r="D226" s="65" t="s">
        <v>1350</v>
      </c>
      <c r="E226" s="65"/>
      <c r="F226" s="65"/>
      <c r="G226" s="65"/>
      <c r="H226" s="65"/>
      <c r="I226" s="52"/>
      <c r="J226" s="42"/>
      <c r="K226" s="52"/>
      <c r="L226" s="42"/>
      <c r="M226" s="42"/>
      <c r="O226" s="83" t="s">
        <v>1351</v>
      </c>
      <c r="P226" s="796" t="s">
        <v>3918</v>
      </c>
      <c r="Q226" s="234"/>
    </row>
    <row r="227" spans="1:31" ht="11.4" customHeight="1">
      <c r="B227" s="57"/>
      <c r="C227" s="83"/>
      <c r="D227" s="65" t="s">
        <v>2232</v>
      </c>
      <c r="E227" s="65"/>
      <c r="F227" s="65"/>
      <c r="G227" s="65"/>
      <c r="H227" s="65"/>
      <c r="I227" s="52"/>
      <c r="J227" s="42"/>
      <c r="K227" s="52"/>
      <c r="L227" s="42"/>
      <c r="M227" s="42"/>
      <c r="O227" s="83" t="s">
        <v>1352</v>
      </c>
      <c r="P227" s="796"/>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2343</v>
      </c>
      <c r="D229" s="65"/>
      <c r="E229" s="65"/>
      <c r="F229" s="65"/>
      <c r="G229" s="65"/>
      <c r="H229" s="65"/>
      <c r="I229" s="65"/>
      <c r="J229" s="65"/>
      <c r="K229" s="52"/>
      <c r="L229" s="65"/>
      <c r="M229" s="65"/>
      <c r="O229" s="62" t="s">
        <v>3210</v>
      </c>
      <c r="P229" s="796"/>
      <c r="Q229" s="234"/>
    </row>
    <row r="230" spans="1:31" ht="11.4" customHeight="1">
      <c r="B230" s="57"/>
      <c r="C230" s="83" t="s">
        <v>2763</v>
      </c>
      <c r="D230" s="49" t="s">
        <v>1932</v>
      </c>
      <c r="E230" s="52"/>
      <c r="F230" s="52"/>
      <c r="G230" s="49"/>
      <c r="H230" s="40"/>
      <c r="I230" s="52"/>
      <c r="J230" s="40"/>
      <c r="K230" s="52"/>
      <c r="L230" s="40"/>
      <c r="M230" s="40"/>
      <c r="O230" s="83" t="s">
        <v>2763</v>
      </c>
      <c r="P230" s="796"/>
      <c r="Q230" s="234"/>
    </row>
    <row r="231" spans="1:31" ht="11.4" customHeight="1">
      <c r="B231" s="57"/>
      <c r="C231" s="83" t="s">
        <v>2764</v>
      </c>
      <c r="D231" s="49" t="s">
        <v>199</v>
      </c>
      <c r="E231" s="52"/>
      <c r="F231" s="52"/>
      <c r="G231" s="40"/>
      <c r="H231" s="40"/>
      <c r="I231" s="52"/>
      <c r="J231" s="40"/>
      <c r="K231" s="52"/>
      <c r="L231" s="40"/>
      <c r="M231" s="40"/>
      <c r="O231" s="83" t="s">
        <v>2764</v>
      </c>
      <c r="P231" s="796"/>
      <c r="Q231" s="234"/>
    </row>
    <row r="232" spans="1:31" ht="11.4" customHeight="1">
      <c r="B232" s="57"/>
      <c r="C232" s="83" t="s">
        <v>2765</v>
      </c>
      <c r="D232" s="40" t="s">
        <v>2624</v>
      </c>
      <c r="E232" s="52"/>
      <c r="F232" s="52"/>
      <c r="G232" s="40"/>
      <c r="H232" s="40"/>
      <c r="I232" s="52"/>
      <c r="J232" s="40"/>
      <c r="K232" s="52"/>
      <c r="L232" s="40"/>
      <c r="M232" s="40"/>
      <c r="O232" s="83" t="s">
        <v>3579</v>
      </c>
      <c r="P232" s="796"/>
      <c r="Q232" s="234"/>
    </row>
    <row r="233" spans="1:31" ht="11.4" customHeight="1">
      <c r="B233" s="46"/>
      <c r="C233" s="52"/>
      <c r="D233" s="40" t="s">
        <v>1983</v>
      </c>
      <c r="E233" s="52"/>
      <c r="F233" s="52"/>
      <c r="G233" s="40"/>
      <c r="H233" s="40"/>
      <c r="I233" s="52"/>
      <c r="J233" s="40"/>
      <c r="K233" s="52"/>
      <c r="L233" s="40"/>
      <c r="M233" s="40"/>
      <c r="O233" s="83" t="s">
        <v>3580</v>
      </c>
      <c r="P233" s="796"/>
      <c r="Q233" s="234"/>
    </row>
    <row r="234" spans="1:31" ht="11.25" customHeight="1">
      <c r="B234" s="191" t="s">
        <v>2919</v>
      </c>
      <c r="D234" s="191"/>
      <c r="E234" s="191"/>
      <c r="F234" s="191"/>
      <c r="G234" s="191"/>
      <c r="H234" s="50"/>
      <c r="I234" s="179"/>
      <c r="J234" s="179"/>
      <c r="K234" s="179"/>
      <c r="L234" s="738"/>
      <c r="M234" s="738"/>
      <c r="N234" s="738"/>
      <c r="O234" s="738"/>
      <c r="P234" s="738"/>
      <c r="Q234" s="63"/>
    </row>
    <row r="235" spans="1:31" ht="11.4" customHeight="1">
      <c r="A235" s="1524"/>
      <c r="B235" s="1525"/>
      <c r="C235" s="1525"/>
      <c r="D235" s="1525"/>
      <c r="E235" s="1525"/>
      <c r="F235" s="1525"/>
      <c r="G235" s="1525"/>
      <c r="H235" s="1525"/>
      <c r="I235" s="1525"/>
      <c r="J235" s="1525"/>
      <c r="K235" s="1525"/>
      <c r="L235" s="1525"/>
      <c r="M235" s="1525"/>
      <c r="N235" s="1525"/>
      <c r="O235" s="1525"/>
      <c r="P235" s="1525"/>
      <c r="Q235" s="1526"/>
      <c r="R235" s="1540" t="s">
        <v>1931</v>
      </c>
      <c r="S235" s="1540"/>
      <c r="U235" s="185"/>
      <c r="V235" s="185"/>
      <c r="W235" s="185"/>
      <c r="X235" s="185"/>
      <c r="Y235" s="185"/>
      <c r="Z235" s="185"/>
      <c r="AA235" s="185"/>
      <c r="AB235" s="185"/>
      <c r="AC235" s="185"/>
      <c r="AD235" s="185"/>
      <c r="AE235" s="186"/>
    </row>
    <row r="236" spans="1:31" ht="11.4" customHeight="1">
      <c r="A236" s="1518"/>
      <c r="B236" s="1519"/>
      <c r="C236" s="1519"/>
      <c r="D236" s="1519"/>
      <c r="E236" s="1519"/>
      <c r="F236" s="1519"/>
      <c r="G236" s="1519"/>
      <c r="H236" s="1519"/>
      <c r="I236" s="1519"/>
      <c r="J236" s="1519"/>
      <c r="K236" s="1519"/>
      <c r="L236" s="1519"/>
      <c r="M236" s="1519"/>
      <c r="N236" s="1519"/>
      <c r="O236" s="1519"/>
      <c r="P236" s="1519"/>
      <c r="Q236" s="1520"/>
      <c r="R236" s="1540"/>
      <c r="S236" s="1540"/>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2" customHeight="1">
      <c r="A238" s="1515"/>
      <c r="B238" s="1516"/>
      <c r="C238" s="1516"/>
      <c r="D238" s="1516"/>
      <c r="E238" s="1516"/>
      <c r="F238" s="1516"/>
      <c r="G238" s="1516"/>
      <c r="H238" s="1516"/>
      <c r="I238" s="1516"/>
      <c r="J238" s="1516"/>
      <c r="K238" s="1516"/>
      <c r="L238" s="1516"/>
      <c r="M238" s="1516"/>
      <c r="N238" s="1516"/>
      <c r="O238" s="1516"/>
      <c r="P238" s="1516"/>
      <c r="Q238" s="1517"/>
    </row>
    <row r="239" spans="1:31" ht="13.2" customHeight="1">
      <c r="A239" s="1533"/>
      <c r="B239" s="1534"/>
      <c r="C239" s="1534"/>
      <c r="D239" s="1534"/>
      <c r="E239" s="1534"/>
      <c r="F239" s="1534"/>
      <c r="G239" s="1534"/>
      <c r="H239" s="1534"/>
      <c r="I239" s="1534"/>
      <c r="J239" s="1534"/>
      <c r="K239" s="1534"/>
      <c r="L239" s="1534"/>
      <c r="M239" s="1534"/>
      <c r="N239" s="1534"/>
      <c r="O239" s="1534"/>
      <c r="P239" s="1534"/>
      <c r="Q239" s="1535"/>
    </row>
    <row r="240" spans="1:31" ht="3" customHeight="1">
      <c r="A240" s="738"/>
      <c r="B240" s="179"/>
      <c r="C240" s="740"/>
      <c r="D240" s="740"/>
      <c r="E240" s="740"/>
      <c r="F240" s="740"/>
      <c r="G240" s="740"/>
      <c r="H240" s="740"/>
      <c r="I240" s="740"/>
      <c r="J240" s="740"/>
      <c r="K240" s="740"/>
      <c r="L240" s="740"/>
      <c r="M240" s="740"/>
      <c r="Q240" s="738"/>
    </row>
    <row r="241" spans="1:31" ht="13.95" customHeight="1">
      <c r="A241" s="742">
        <v>14</v>
      </c>
      <c r="B241" s="5" t="s">
        <v>3119</v>
      </c>
      <c r="C241" s="5"/>
      <c r="D241" s="118"/>
      <c r="E241" s="118"/>
      <c r="F241" s="118"/>
      <c r="G241" s="118"/>
      <c r="H241" s="740"/>
      <c r="I241" s="740"/>
      <c r="J241" s="740"/>
      <c r="K241" s="740"/>
      <c r="L241" s="740"/>
      <c r="M241" s="740"/>
      <c r="O241" s="180" t="s">
        <v>2921</v>
      </c>
      <c r="P241" s="1521"/>
      <c r="Q241" s="1522"/>
    </row>
    <row r="242" spans="1:31" ht="4.95" customHeight="1"/>
    <row r="243" spans="1:31" ht="11.4" customHeight="1">
      <c r="B243" s="57" t="s">
        <v>3058</v>
      </c>
      <c r="C243" s="65" t="s">
        <v>1951</v>
      </c>
      <c r="D243" s="52"/>
      <c r="E243" s="65"/>
      <c r="F243" s="65"/>
      <c r="G243" s="65"/>
      <c r="H243" s="65"/>
      <c r="I243" s="52"/>
      <c r="J243" s="52"/>
      <c r="K243" s="52"/>
      <c r="L243" s="62" t="s">
        <v>3058</v>
      </c>
      <c r="M243" s="1527" t="s">
        <v>3996</v>
      </c>
      <c r="N243" s="1528"/>
      <c r="O243" s="1529"/>
      <c r="P243" s="1579" t="s">
        <v>2799</v>
      </c>
      <c r="Q243" s="1580"/>
    </row>
    <row r="244" spans="1:31" ht="11.4" customHeight="1">
      <c r="B244" s="57" t="s">
        <v>3061</v>
      </c>
      <c r="C244" s="65" t="s">
        <v>1920</v>
      </c>
      <c r="D244" s="65"/>
      <c r="E244" s="65"/>
      <c r="F244" s="65"/>
      <c r="G244" s="65"/>
      <c r="H244" s="65"/>
      <c r="I244" s="52"/>
      <c r="J244" s="52"/>
      <c r="K244" s="52"/>
      <c r="L244" s="62" t="s">
        <v>3061</v>
      </c>
      <c r="M244" s="1584">
        <v>40708</v>
      </c>
      <c r="N244" s="1585"/>
      <c r="O244" s="1586"/>
      <c r="P244" s="1581"/>
      <c r="Q244" s="1582"/>
    </row>
    <row r="245" spans="1:31" s="200" customFormat="1" ht="11.4" customHeight="1">
      <c r="B245" s="57" t="s">
        <v>1237</v>
      </c>
      <c r="C245" s="65" t="s">
        <v>3015</v>
      </c>
      <c r="D245" s="65"/>
      <c r="E245" s="65"/>
      <c r="F245" s="65"/>
      <c r="G245" s="65"/>
      <c r="H245" s="65"/>
      <c r="I245" s="129"/>
      <c r="J245" s="129"/>
      <c r="K245" s="129"/>
      <c r="L245" s="62" t="s">
        <v>1237</v>
      </c>
      <c r="M245" s="1527" t="s">
        <v>4011</v>
      </c>
      <c r="N245" s="1528"/>
      <c r="O245" s="1529"/>
      <c r="P245" s="1579"/>
      <c r="Q245" s="1580"/>
    </row>
    <row r="246" spans="1:31" s="200" customFormat="1" ht="11.4" customHeight="1">
      <c r="B246" s="57" t="s">
        <v>3210</v>
      </c>
      <c r="C246" s="65" t="s">
        <v>3840</v>
      </c>
      <c r="D246" s="65"/>
      <c r="E246" s="65"/>
      <c r="F246" s="65"/>
      <c r="G246" s="65"/>
      <c r="H246" s="65"/>
      <c r="I246" s="129"/>
      <c r="J246" s="129"/>
      <c r="K246" s="129"/>
      <c r="L246" s="129"/>
      <c r="M246" s="129"/>
      <c r="O246" s="62" t="s">
        <v>3210</v>
      </c>
      <c r="P246" s="796" t="s">
        <v>3918</v>
      </c>
      <c r="Q246" s="234"/>
    </row>
    <row r="247" spans="1:31" s="200" customFormat="1" ht="22.2" customHeight="1">
      <c r="B247" s="192" t="s">
        <v>2761</v>
      </c>
      <c r="C247" s="1583" t="s">
        <v>1968</v>
      </c>
      <c r="D247" s="1583"/>
      <c r="E247" s="1583"/>
      <c r="F247" s="1583"/>
      <c r="G247" s="1583"/>
      <c r="H247" s="1583"/>
      <c r="I247" s="1583"/>
      <c r="J247" s="1583"/>
      <c r="K247" s="1583"/>
      <c r="L247" s="1583"/>
      <c r="M247" s="1583"/>
      <c r="O247" s="221" t="s">
        <v>2761</v>
      </c>
      <c r="P247" s="796" t="s">
        <v>3993</v>
      </c>
      <c r="Q247" s="234"/>
    </row>
    <row r="248" spans="1:31" ht="11.25" customHeight="1">
      <c r="B248" s="191" t="s">
        <v>2919</v>
      </c>
      <c r="D248" s="191"/>
      <c r="E248" s="191"/>
      <c r="F248" s="191"/>
      <c r="G248" s="191"/>
      <c r="H248" s="50"/>
      <c r="I248" s="179"/>
      <c r="J248" s="179"/>
      <c r="K248" s="179"/>
      <c r="L248" s="738"/>
      <c r="M248" s="738"/>
      <c r="N248" s="738"/>
      <c r="O248" s="738"/>
      <c r="P248" s="738"/>
      <c r="Q248" s="63"/>
    </row>
    <row r="249" spans="1:31" ht="13.2" customHeight="1">
      <c r="A249" s="1524"/>
      <c r="B249" s="1525"/>
      <c r="C249" s="1525"/>
      <c r="D249" s="1525"/>
      <c r="E249" s="1525"/>
      <c r="F249" s="1525"/>
      <c r="G249" s="1525"/>
      <c r="H249" s="1525"/>
      <c r="I249" s="1525"/>
      <c r="J249" s="1525"/>
      <c r="K249" s="1525"/>
      <c r="L249" s="1525"/>
      <c r="M249" s="1525"/>
      <c r="N249" s="1525"/>
      <c r="O249" s="1525"/>
      <c r="P249" s="1525"/>
      <c r="Q249" s="1526"/>
      <c r="R249" s="1540" t="s">
        <v>1931</v>
      </c>
      <c r="S249" s="1540"/>
      <c r="U249" s="185"/>
      <c r="V249" s="185"/>
      <c r="W249" s="185"/>
      <c r="X249" s="185"/>
      <c r="Y249" s="185"/>
      <c r="Z249" s="185"/>
      <c r="AA249" s="185"/>
      <c r="AB249" s="185"/>
      <c r="AC249" s="185"/>
      <c r="AD249" s="185"/>
      <c r="AE249" s="186"/>
    </row>
    <row r="250" spans="1:31" ht="13.2" customHeight="1">
      <c r="A250" s="1518"/>
      <c r="B250" s="1519"/>
      <c r="C250" s="1519"/>
      <c r="D250" s="1519"/>
      <c r="E250" s="1519"/>
      <c r="F250" s="1519"/>
      <c r="G250" s="1519"/>
      <c r="H250" s="1519"/>
      <c r="I250" s="1519"/>
      <c r="J250" s="1519"/>
      <c r="K250" s="1519"/>
      <c r="L250" s="1519"/>
      <c r="M250" s="1519"/>
      <c r="N250" s="1519"/>
      <c r="O250" s="1519"/>
      <c r="P250" s="1519"/>
      <c r="Q250" s="1520"/>
      <c r="R250" s="1540"/>
      <c r="S250" s="1540"/>
    </row>
    <row r="251" spans="1:31" ht="10.95" customHeight="1">
      <c r="B251" s="187" t="s">
        <v>2920</v>
      </c>
      <c r="C251" s="188"/>
      <c r="D251" s="740"/>
      <c r="E251" s="740"/>
      <c r="F251" s="740"/>
      <c r="G251" s="740"/>
      <c r="H251" s="740"/>
      <c r="I251" s="740"/>
      <c r="J251" s="740"/>
      <c r="K251" s="740"/>
      <c r="L251" s="740"/>
      <c r="M251" s="740"/>
      <c r="N251" s="740"/>
      <c r="O251" s="740"/>
      <c r="P251" s="740"/>
      <c r="Q251" s="740"/>
    </row>
    <row r="252" spans="1:31" ht="13.2" customHeight="1">
      <c r="A252" s="1515"/>
      <c r="B252" s="1516"/>
      <c r="C252" s="1516"/>
      <c r="D252" s="1516"/>
      <c r="E252" s="1516"/>
      <c r="F252" s="1516"/>
      <c r="G252" s="1516"/>
      <c r="H252" s="1516"/>
      <c r="I252" s="1516"/>
      <c r="J252" s="1516"/>
      <c r="K252" s="1516"/>
      <c r="L252" s="1516"/>
      <c r="M252" s="1516"/>
      <c r="N252" s="1516"/>
      <c r="O252" s="1516"/>
      <c r="P252" s="1516"/>
      <c r="Q252" s="1517"/>
    </row>
    <row r="253" spans="1:31" ht="13.2" customHeight="1">
      <c r="A253" s="1533"/>
      <c r="B253" s="1534"/>
      <c r="C253" s="1534"/>
      <c r="D253" s="1534"/>
      <c r="E253" s="1534"/>
      <c r="F253" s="1534"/>
      <c r="G253" s="1534"/>
      <c r="H253" s="1534"/>
      <c r="I253" s="1534"/>
      <c r="J253" s="1534"/>
      <c r="K253" s="1534"/>
      <c r="L253" s="1534"/>
      <c r="M253" s="1534"/>
      <c r="N253" s="1534"/>
      <c r="O253" s="1534"/>
      <c r="P253" s="1534"/>
      <c r="Q253" s="1535"/>
    </row>
    <row r="254" spans="1:31" ht="3" customHeight="1">
      <c r="A254" s="738"/>
      <c r="B254" s="179"/>
      <c r="C254" s="740"/>
      <c r="D254" s="740"/>
      <c r="E254" s="740"/>
      <c r="F254" s="740"/>
      <c r="G254" s="740"/>
      <c r="H254" s="740"/>
      <c r="I254" s="740"/>
      <c r="J254" s="740"/>
      <c r="K254" s="740"/>
      <c r="L254" s="740"/>
      <c r="M254" s="740"/>
      <c r="Q254" s="738"/>
    </row>
    <row r="255" spans="1:31" ht="13.95" customHeight="1">
      <c r="A255" s="742">
        <v>15</v>
      </c>
      <c r="B255" s="5" t="s">
        <v>2818</v>
      </c>
      <c r="C255" s="5"/>
      <c r="D255" s="118"/>
      <c r="E255" s="118"/>
      <c r="F255" s="118"/>
      <c r="G255" s="118"/>
      <c r="H255" s="740"/>
      <c r="I255" s="740"/>
      <c r="J255" s="740"/>
      <c r="K255" s="740"/>
      <c r="L255" s="740"/>
      <c r="M255" s="740"/>
      <c r="O255" s="180" t="s">
        <v>2921</v>
      </c>
      <c r="P255" s="1521"/>
      <c r="Q255" s="1522"/>
    </row>
    <row r="256" spans="1:31" ht="3" customHeight="1"/>
    <row r="257" spans="1:31" s="200" customFormat="1" ht="11.4" customHeight="1">
      <c r="B257" s="57" t="s">
        <v>3058</v>
      </c>
      <c r="C257" s="40" t="s">
        <v>3123</v>
      </c>
      <c r="D257" s="40"/>
      <c r="E257" s="40"/>
      <c r="F257" s="40"/>
      <c r="G257" s="40"/>
      <c r="H257" s="40"/>
      <c r="I257" s="40"/>
      <c r="J257" s="40"/>
      <c r="K257" s="40"/>
      <c r="L257" s="40"/>
      <c r="M257" s="40"/>
      <c r="O257" s="62" t="s">
        <v>3058</v>
      </c>
      <c r="P257" s="796" t="s">
        <v>3918</v>
      </c>
      <c r="Q257" s="234"/>
    </row>
    <row r="258" spans="1:31" s="200" customFormat="1" ht="11.4" customHeight="1">
      <c r="B258" s="57" t="s">
        <v>3061</v>
      </c>
      <c r="C258" s="65" t="s">
        <v>2112</v>
      </c>
      <c r="D258" s="65"/>
      <c r="E258" s="65"/>
      <c r="F258" s="65"/>
      <c r="G258" s="65"/>
      <c r="H258" s="65"/>
      <c r="I258" s="65"/>
      <c r="J258" s="65"/>
      <c r="K258" s="65"/>
      <c r="L258" s="65"/>
      <c r="M258" s="65"/>
      <c r="O258" s="62" t="s">
        <v>3061</v>
      </c>
      <c r="P258" s="796" t="s">
        <v>3918</v>
      </c>
      <c r="Q258" s="234"/>
    </row>
    <row r="259" spans="1:31" ht="11.25" customHeight="1">
      <c r="B259" s="191" t="s">
        <v>2919</v>
      </c>
      <c r="D259" s="191"/>
      <c r="E259" s="191"/>
      <c r="F259" s="191"/>
      <c r="G259" s="191"/>
      <c r="H259" s="50"/>
      <c r="I259" s="179"/>
      <c r="J259" s="179"/>
      <c r="K259" s="179"/>
      <c r="L259" s="738"/>
      <c r="M259" s="738"/>
      <c r="N259" s="738"/>
      <c r="O259" s="738"/>
      <c r="P259" s="738"/>
      <c r="Q259" s="63"/>
    </row>
    <row r="260" spans="1:31" ht="13.2" customHeight="1">
      <c r="A260" s="1524"/>
      <c r="B260" s="1525"/>
      <c r="C260" s="1525"/>
      <c r="D260" s="1525"/>
      <c r="E260" s="1525"/>
      <c r="F260" s="1525"/>
      <c r="G260" s="1525"/>
      <c r="H260" s="1525"/>
      <c r="I260" s="1525"/>
      <c r="J260" s="1525"/>
      <c r="K260" s="1525"/>
      <c r="L260" s="1525"/>
      <c r="M260" s="1525"/>
      <c r="N260" s="1525"/>
      <c r="O260" s="1525"/>
      <c r="P260" s="1525"/>
      <c r="Q260" s="1526"/>
      <c r="R260" s="1540" t="s">
        <v>1931</v>
      </c>
      <c r="S260" s="1540"/>
      <c r="U260" s="185"/>
      <c r="V260" s="185"/>
      <c r="W260" s="185"/>
      <c r="X260" s="185"/>
      <c r="Y260" s="185"/>
      <c r="Z260" s="185"/>
      <c r="AA260" s="185"/>
      <c r="AB260" s="185"/>
      <c r="AC260" s="185"/>
      <c r="AD260" s="185"/>
      <c r="AE260" s="186"/>
    </row>
    <row r="261" spans="1:31" ht="13.2" customHeight="1">
      <c r="A261" s="1518"/>
      <c r="B261" s="1519"/>
      <c r="C261" s="1519"/>
      <c r="D261" s="1519"/>
      <c r="E261" s="1519"/>
      <c r="F261" s="1519"/>
      <c r="G261" s="1519"/>
      <c r="H261" s="1519"/>
      <c r="I261" s="1519"/>
      <c r="J261" s="1519"/>
      <c r="K261" s="1519"/>
      <c r="L261" s="1519"/>
      <c r="M261" s="1519"/>
      <c r="N261" s="1519"/>
      <c r="O261" s="1519"/>
      <c r="P261" s="1519"/>
      <c r="Q261" s="1520"/>
      <c r="R261" s="1540"/>
      <c r="S261" s="1540"/>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2" customHeight="1">
      <c r="A263" s="1515"/>
      <c r="B263" s="1516"/>
      <c r="C263" s="1516"/>
      <c r="D263" s="1516"/>
      <c r="E263" s="1516"/>
      <c r="F263" s="1516"/>
      <c r="G263" s="1516"/>
      <c r="H263" s="1516"/>
      <c r="I263" s="1516"/>
      <c r="J263" s="1516"/>
      <c r="K263" s="1516"/>
      <c r="L263" s="1516"/>
      <c r="M263" s="1516"/>
      <c r="N263" s="1516"/>
      <c r="O263" s="1516"/>
      <c r="P263" s="1516"/>
      <c r="Q263" s="1517"/>
    </row>
    <row r="264" spans="1:31" ht="13.2" customHeight="1">
      <c r="A264" s="1533"/>
      <c r="B264" s="1534"/>
      <c r="C264" s="1534"/>
      <c r="D264" s="1534"/>
      <c r="E264" s="1534"/>
      <c r="F264" s="1534"/>
      <c r="G264" s="1534"/>
      <c r="H264" s="1534"/>
      <c r="I264" s="1534"/>
      <c r="J264" s="1534"/>
      <c r="K264" s="1534"/>
      <c r="L264" s="1534"/>
      <c r="M264" s="1534"/>
      <c r="N264" s="1534"/>
      <c r="O264" s="1534"/>
      <c r="P264" s="1534"/>
      <c r="Q264" s="1535"/>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5" customHeight="1">
      <c r="A266" s="742">
        <v>16</v>
      </c>
      <c r="B266" s="742" t="s">
        <v>1088</v>
      </c>
      <c r="C266" s="742"/>
      <c r="D266" s="740"/>
      <c r="E266" s="740"/>
      <c r="F266" s="740"/>
      <c r="G266" s="740"/>
      <c r="H266" s="740"/>
      <c r="I266" s="740"/>
      <c r="J266" s="740"/>
      <c r="K266" s="740"/>
      <c r="L266" s="740"/>
      <c r="M266" s="740"/>
      <c r="O266" s="180" t="s">
        <v>2921</v>
      </c>
      <c r="P266" s="1521"/>
      <c r="Q266" s="1522"/>
    </row>
    <row r="267" spans="1:31" ht="3" customHeight="1"/>
    <row r="268" spans="1:31" s="705" customFormat="1" ht="24" customHeight="1">
      <c r="B268" s="192" t="s">
        <v>3058</v>
      </c>
      <c r="C268" s="1523" t="s">
        <v>1206</v>
      </c>
      <c r="D268" s="1539"/>
      <c r="E268" s="1539"/>
      <c r="F268" s="1539"/>
      <c r="G268" s="1539"/>
      <c r="H268" s="1539"/>
      <c r="I268" s="1539"/>
      <c r="J268" s="1539"/>
      <c r="K268" s="1539"/>
      <c r="L268" s="1539"/>
      <c r="M268" s="1539"/>
      <c r="N268" s="1539"/>
      <c r="O268" s="221" t="s">
        <v>3058</v>
      </c>
      <c r="P268" s="796" t="s">
        <v>3993</v>
      </c>
      <c r="Q268" s="234"/>
    </row>
    <row r="269" spans="1:31" s="705" customFormat="1" ht="24" customHeight="1">
      <c r="B269" s="192" t="s">
        <v>3061</v>
      </c>
      <c r="C269" s="1523" t="s">
        <v>1207</v>
      </c>
      <c r="D269" s="1539"/>
      <c r="E269" s="1539"/>
      <c r="F269" s="1539"/>
      <c r="G269" s="1539"/>
      <c r="H269" s="1539"/>
      <c r="I269" s="1539"/>
      <c r="J269" s="1539"/>
      <c r="K269" s="1539"/>
      <c r="L269" s="1539"/>
      <c r="M269" s="1539"/>
      <c r="N269" s="1539"/>
      <c r="O269" s="221" t="s">
        <v>3061</v>
      </c>
      <c r="P269" s="796" t="s">
        <v>3993</v>
      </c>
      <c r="Q269" s="234"/>
    </row>
    <row r="270" spans="1:31" s="705" customFormat="1" ht="33" customHeight="1">
      <c r="B270" s="192" t="s">
        <v>1237</v>
      </c>
      <c r="C270" s="1523" t="s">
        <v>1208</v>
      </c>
      <c r="D270" s="1539"/>
      <c r="E270" s="1539"/>
      <c r="F270" s="1539"/>
      <c r="G270" s="1539"/>
      <c r="H270" s="1539"/>
      <c r="I270" s="1539"/>
      <c r="J270" s="1539"/>
      <c r="K270" s="1539"/>
      <c r="L270" s="1539"/>
      <c r="M270" s="1539"/>
      <c r="N270" s="1539"/>
      <c r="O270" s="221" t="s">
        <v>3061</v>
      </c>
      <c r="P270" s="796"/>
      <c r="Q270" s="234"/>
    </row>
    <row r="271" spans="1:31" ht="11.25" customHeight="1">
      <c r="B271" s="191" t="s">
        <v>2919</v>
      </c>
      <c r="D271" s="191"/>
      <c r="E271" s="191"/>
      <c r="F271" s="191"/>
      <c r="G271" s="191"/>
      <c r="H271" s="50"/>
      <c r="I271" s="179"/>
      <c r="J271" s="179"/>
      <c r="K271" s="179"/>
      <c r="L271" s="738"/>
      <c r="M271" s="738"/>
      <c r="N271" s="738"/>
      <c r="O271" s="738"/>
      <c r="P271" s="738"/>
      <c r="Q271" s="63"/>
    </row>
    <row r="272" spans="1:31" ht="13.2" customHeight="1">
      <c r="A272" s="1524"/>
      <c r="B272" s="1525"/>
      <c r="C272" s="1525"/>
      <c r="D272" s="1525"/>
      <c r="E272" s="1525"/>
      <c r="F272" s="1525"/>
      <c r="G272" s="1525"/>
      <c r="H272" s="1525"/>
      <c r="I272" s="1525"/>
      <c r="J272" s="1525"/>
      <c r="K272" s="1525"/>
      <c r="L272" s="1525"/>
      <c r="M272" s="1525"/>
      <c r="N272" s="1525"/>
      <c r="O272" s="1525"/>
      <c r="P272" s="1525"/>
      <c r="Q272" s="1526"/>
      <c r="R272" s="1540" t="s">
        <v>1931</v>
      </c>
      <c r="S272" s="1540"/>
      <c r="U272" s="185"/>
      <c r="V272" s="185"/>
      <c r="W272" s="185"/>
      <c r="X272" s="185"/>
      <c r="Y272" s="185"/>
      <c r="Z272" s="185"/>
      <c r="AA272" s="185"/>
      <c r="AB272" s="185"/>
      <c r="AC272" s="185"/>
      <c r="AD272" s="185"/>
      <c r="AE272" s="186"/>
    </row>
    <row r="273" spans="1:31" ht="13.2" customHeight="1">
      <c r="A273" s="1518"/>
      <c r="B273" s="1519"/>
      <c r="C273" s="1519"/>
      <c r="D273" s="1519"/>
      <c r="E273" s="1519"/>
      <c r="F273" s="1519"/>
      <c r="G273" s="1519"/>
      <c r="H273" s="1519"/>
      <c r="I273" s="1519"/>
      <c r="J273" s="1519"/>
      <c r="K273" s="1519"/>
      <c r="L273" s="1519"/>
      <c r="M273" s="1519"/>
      <c r="N273" s="1519"/>
      <c r="O273" s="1519"/>
      <c r="P273" s="1519"/>
      <c r="Q273" s="1520"/>
      <c r="R273" s="1540"/>
      <c r="S273" s="1540"/>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2" customHeight="1">
      <c r="A275" s="1515"/>
      <c r="B275" s="1516"/>
      <c r="C275" s="1516"/>
      <c r="D275" s="1516"/>
      <c r="E275" s="1516"/>
      <c r="F275" s="1516"/>
      <c r="G275" s="1516"/>
      <c r="H275" s="1516"/>
      <c r="I275" s="1516"/>
      <c r="J275" s="1516"/>
      <c r="K275" s="1516"/>
      <c r="L275" s="1516"/>
      <c r="M275" s="1516"/>
      <c r="N275" s="1516"/>
      <c r="O275" s="1516"/>
      <c r="P275" s="1516"/>
      <c r="Q275" s="1517"/>
    </row>
    <row r="276" spans="1:31" ht="13.2" customHeight="1">
      <c r="A276" s="1533"/>
      <c r="B276" s="1534"/>
      <c r="C276" s="1534"/>
      <c r="D276" s="1534"/>
      <c r="E276" s="1534"/>
      <c r="F276" s="1534"/>
      <c r="G276" s="1534"/>
      <c r="H276" s="1534"/>
      <c r="I276" s="1534"/>
      <c r="J276" s="1534"/>
      <c r="K276" s="1534"/>
      <c r="L276" s="1534"/>
      <c r="M276" s="1534"/>
      <c r="N276" s="1534"/>
      <c r="O276" s="1534"/>
      <c r="P276" s="1534"/>
      <c r="Q276" s="1535"/>
    </row>
    <row r="277" spans="1:31" ht="5.4" customHeight="1">
      <c r="A277" s="738"/>
      <c r="B277" s="179"/>
      <c r="C277" s="740"/>
      <c r="D277" s="740"/>
      <c r="E277" s="740"/>
      <c r="F277" s="740"/>
      <c r="G277" s="740"/>
      <c r="H277" s="740"/>
      <c r="I277" s="740"/>
      <c r="J277" s="740"/>
      <c r="K277" s="740"/>
      <c r="L277" s="740"/>
      <c r="M277" s="740"/>
      <c r="Q277" s="738"/>
    </row>
    <row r="278" spans="1:31" ht="13.95" customHeight="1">
      <c r="A278" s="742">
        <v>17</v>
      </c>
      <c r="B278" s="742" t="s">
        <v>876</v>
      </c>
      <c r="C278" s="201"/>
      <c r="D278" s="202"/>
      <c r="E278" s="740"/>
      <c r="F278" s="740"/>
      <c r="G278" s="740"/>
      <c r="H278" s="740"/>
      <c r="I278" s="740"/>
      <c r="J278" s="740"/>
      <c r="K278" s="740"/>
      <c r="L278" s="740"/>
      <c r="M278" s="740"/>
      <c r="O278" s="180" t="s">
        <v>2921</v>
      </c>
      <c r="P278" s="1521"/>
      <c r="Q278" s="1522"/>
    </row>
    <row r="279" spans="1:31" s="200" customFormat="1" ht="22.95" customHeight="1">
      <c r="B279" s="192" t="s">
        <v>3058</v>
      </c>
      <c r="C279" s="1583" t="s">
        <v>2942</v>
      </c>
      <c r="D279" s="1583"/>
      <c r="E279" s="1583"/>
      <c r="F279" s="1583"/>
      <c r="G279" s="1583"/>
      <c r="H279" s="1583"/>
      <c r="I279" s="1583"/>
      <c r="J279" s="1583"/>
      <c r="K279" s="1583"/>
      <c r="L279" s="1583"/>
      <c r="M279" s="1583"/>
      <c r="O279" s="221" t="s">
        <v>3058</v>
      </c>
      <c r="P279" s="812" t="s">
        <v>3918</v>
      </c>
      <c r="Q279" s="234"/>
    </row>
    <row r="280" spans="1:31" s="200" customFormat="1" ht="12" customHeight="1">
      <c r="B280" s="57" t="s">
        <v>3061</v>
      </c>
      <c r="C280" s="40" t="s">
        <v>3117</v>
      </c>
      <c r="D280" s="40"/>
      <c r="E280" s="40"/>
      <c r="F280" s="40"/>
      <c r="G280" s="40"/>
      <c r="H280" s="40"/>
      <c r="I280" s="40"/>
      <c r="J280" s="40"/>
      <c r="K280" s="40"/>
      <c r="L280" s="40"/>
      <c r="M280" s="40"/>
      <c r="O280" s="62" t="s">
        <v>3061</v>
      </c>
      <c r="P280" s="796" t="s">
        <v>3918</v>
      </c>
      <c r="Q280" s="234"/>
    </row>
    <row r="281" spans="1:31" s="200" customFormat="1" ht="22.95" customHeight="1">
      <c r="B281" s="192" t="s">
        <v>1237</v>
      </c>
      <c r="C281" s="1523" t="s">
        <v>2886</v>
      </c>
      <c r="D281" s="1539"/>
      <c r="E281" s="1539"/>
      <c r="F281" s="1539"/>
      <c r="G281" s="1539"/>
      <c r="H281" s="1539"/>
      <c r="I281" s="1539"/>
      <c r="J281" s="1539"/>
      <c r="K281" s="1539"/>
      <c r="L281" s="1539"/>
      <c r="M281" s="1539"/>
      <c r="N281" s="1539"/>
      <c r="O281" s="62" t="s">
        <v>1237</v>
      </c>
      <c r="P281" s="796" t="s">
        <v>3918</v>
      </c>
      <c r="Q281" s="234"/>
    </row>
    <row r="282" spans="1:31" s="200" customFormat="1" ht="12" customHeight="1">
      <c r="B282" s="57" t="s">
        <v>3210</v>
      </c>
      <c r="C282" s="40" t="s">
        <v>2887</v>
      </c>
      <c r="D282" s="40"/>
      <c r="E282" s="40"/>
      <c r="F282" s="40"/>
      <c r="G282" s="40"/>
      <c r="H282" s="40"/>
      <c r="I282" s="40"/>
      <c r="J282" s="40"/>
      <c r="K282" s="40"/>
      <c r="L282" s="40"/>
      <c r="M282" s="40"/>
      <c r="O282" s="62" t="s">
        <v>3210</v>
      </c>
      <c r="P282" s="796" t="s">
        <v>3918</v>
      </c>
      <c r="Q282" s="234"/>
    </row>
    <row r="283" spans="1:31" s="200" customFormat="1" ht="22.95" customHeight="1">
      <c r="B283" s="192" t="s">
        <v>2761</v>
      </c>
      <c r="C283" s="1523" t="s">
        <v>1079</v>
      </c>
      <c r="D283" s="1539"/>
      <c r="E283" s="1539"/>
      <c r="F283" s="1539"/>
      <c r="G283" s="1539"/>
      <c r="H283" s="1539"/>
      <c r="I283" s="1539"/>
      <c r="J283" s="1539"/>
      <c r="K283" s="1539"/>
      <c r="L283" s="1539"/>
      <c r="M283" s="1539"/>
      <c r="N283" s="1539"/>
      <c r="O283" s="62" t="s">
        <v>2761</v>
      </c>
      <c r="P283" s="796" t="s">
        <v>3918</v>
      </c>
      <c r="Q283" s="234"/>
    </row>
    <row r="284" spans="1:31" ht="11.25" customHeight="1">
      <c r="B284" s="191" t="s">
        <v>2919</v>
      </c>
      <c r="D284" s="191"/>
      <c r="E284" s="191"/>
      <c r="F284" s="191"/>
      <c r="G284" s="191"/>
      <c r="H284" s="50"/>
      <c r="I284" s="179"/>
      <c r="J284" s="179"/>
      <c r="K284" s="179"/>
      <c r="L284" s="738"/>
      <c r="M284" s="738"/>
      <c r="N284" s="738"/>
      <c r="O284" s="738"/>
      <c r="P284" s="738"/>
      <c r="Q284" s="63"/>
    </row>
    <row r="285" spans="1:31" ht="11.4" customHeight="1">
      <c r="A285" s="1524"/>
      <c r="B285" s="1525"/>
      <c r="C285" s="1525"/>
      <c r="D285" s="1525"/>
      <c r="E285" s="1525"/>
      <c r="F285" s="1525"/>
      <c r="G285" s="1525"/>
      <c r="H285" s="1525"/>
      <c r="I285" s="1525"/>
      <c r="J285" s="1525"/>
      <c r="K285" s="1525"/>
      <c r="L285" s="1525"/>
      <c r="M285" s="1525"/>
      <c r="N285" s="1525"/>
      <c r="O285" s="1525"/>
      <c r="P285" s="1525"/>
      <c r="Q285" s="1526"/>
      <c r="R285" s="1540" t="s">
        <v>1931</v>
      </c>
      <c r="S285" s="1540"/>
      <c r="U285" s="185"/>
      <c r="V285" s="185"/>
      <c r="W285" s="185"/>
      <c r="X285" s="185"/>
      <c r="Y285" s="185"/>
      <c r="Z285" s="185"/>
      <c r="AA285" s="185"/>
      <c r="AB285" s="185"/>
      <c r="AC285" s="185"/>
      <c r="AD285" s="185"/>
      <c r="AE285" s="186"/>
    </row>
    <row r="286" spans="1:31" ht="11.4" customHeight="1">
      <c r="A286" s="1518"/>
      <c r="B286" s="1519"/>
      <c r="C286" s="1519"/>
      <c r="D286" s="1519"/>
      <c r="E286" s="1519"/>
      <c r="F286" s="1519"/>
      <c r="G286" s="1519"/>
      <c r="H286" s="1519"/>
      <c r="I286" s="1519"/>
      <c r="J286" s="1519"/>
      <c r="K286" s="1519"/>
      <c r="L286" s="1519"/>
      <c r="M286" s="1519"/>
      <c r="N286" s="1519"/>
      <c r="O286" s="1519"/>
      <c r="P286" s="1519"/>
      <c r="Q286" s="1520"/>
      <c r="R286" s="1540"/>
      <c r="S286" s="1540"/>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 customHeight="1">
      <c r="A288" s="1515"/>
      <c r="B288" s="1516"/>
      <c r="C288" s="1516"/>
      <c r="D288" s="1516"/>
      <c r="E288" s="1516"/>
      <c r="F288" s="1516"/>
      <c r="G288" s="1516"/>
      <c r="H288" s="1516"/>
      <c r="I288" s="1516"/>
      <c r="J288" s="1516"/>
      <c r="K288" s="1516"/>
      <c r="L288" s="1516"/>
      <c r="M288" s="1516"/>
      <c r="N288" s="1516"/>
      <c r="O288" s="1516"/>
      <c r="P288" s="1516"/>
      <c r="Q288" s="1517"/>
    </row>
    <row r="289" spans="1:256" ht="11.4" customHeight="1">
      <c r="A289" s="1533"/>
      <c r="B289" s="1534"/>
      <c r="C289" s="1534"/>
      <c r="D289" s="1534"/>
      <c r="E289" s="1534"/>
      <c r="F289" s="1534"/>
      <c r="G289" s="1534"/>
      <c r="H289" s="1534"/>
      <c r="I289" s="1534"/>
      <c r="J289" s="1534"/>
      <c r="K289" s="1534"/>
      <c r="L289" s="1534"/>
      <c r="M289" s="1534"/>
      <c r="N289" s="1534"/>
      <c r="O289" s="1534"/>
      <c r="P289" s="1534"/>
      <c r="Q289" s="1535"/>
    </row>
    <row r="290" spans="1:256" ht="13.95" customHeight="1">
      <c r="A290" s="742">
        <v>18</v>
      </c>
      <c r="B290" s="1572" t="s">
        <v>3323</v>
      </c>
      <c r="C290" s="1572"/>
      <c r="D290" s="1572"/>
      <c r="E290" s="1572"/>
      <c r="F290" s="1572"/>
      <c r="G290" s="1572"/>
      <c r="H290" s="740"/>
      <c r="I290" s="740"/>
      <c r="J290" s="740"/>
      <c r="K290" s="740"/>
      <c r="L290" s="740"/>
      <c r="M290" s="740"/>
      <c r="O290" s="180" t="s">
        <v>2921</v>
      </c>
      <c r="P290" s="1521"/>
      <c r="Q290" s="1522"/>
    </row>
    <row r="291" spans="1:256" ht="11.4" customHeight="1">
      <c r="B291" s="195" t="s">
        <v>3380</v>
      </c>
      <c r="P291" s="796" t="s">
        <v>3918</v>
      </c>
      <c r="Q291" s="234"/>
    </row>
    <row r="292" spans="1:256" ht="12" customHeight="1">
      <c r="B292" s="197" t="s">
        <v>3324</v>
      </c>
      <c r="C292" s="197"/>
      <c r="D292" s="197"/>
      <c r="E292" s="197"/>
      <c r="F292" s="197"/>
      <c r="G292" s="197"/>
      <c r="H292" s="197"/>
      <c r="I292" s="197"/>
      <c r="J292" s="197"/>
      <c r="K292" s="197"/>
      <c r="L292" s="197"/>
      <c r="P292" s="796" t="s">
        <v>3918</v>
      </c>
      <c r="Q292" s="234"/>
    </row>
    <row r="293" spans="1:256" ht="11.4" customHeight="1">
      <c r="B293" s="192" t="s">
        <v>3058</v>
      </c>
      <c r="C293" s="263" t="s">
        <v>673</v>
      </c>
      <c r="D293" s="40"/>
      <c r="E293" s="40"/>
      <c r="F293" s="40"/>
      <c r="G293" s="40"/>
      <c r="H293" s="40"/>
      <c r="I293" s="40"/>
      <c r="J293" s="40"/>
      <c r="K293" s="40"/>
      <c r="L293" s="40"/>
      <c r="M293" s="40"/>
      <c r="N293" s="221"/>
    </row>
    <row r="294" spans="1:256" ht="33.6" customHeight="1">
      <c r="A294" s="194"/>
      <c r="C294" s="1619" t="s">
        <v>1080</v>
      </c>
      <c r="D294" s="1619"/>
      <c r="E294" s="1619"/>
      <c r="F294" s="1619"/>
      <c r="G294" s="1619"/>
      <c r="H294" s="1619"/>
      <c r="I294" s="1619"/>
      <c r="J294" s="1619"/>
      <c r="K294" s="1619"/>
      <c r="L294" s="1619"/>
      <c r="M294" s="1619"/>
      <c r="N294" s="1619"/>
      <c r="O294" s="221" t="s">
        <v>3058</v>
      </c>
      <c r="P294" s="812" t="s">
        <v>3918</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3061</v>
      </c>
      <c r="C296" s="1612" t="s">
        <v>674</v>
      </c>
      <c r="D296" s="1612"/>
      <c r="E296" s="1612"/>
      <c r="F296" s="1612"/>
      <c r="G296" s="1612"/>
      <c r="H296" s="1612"/>
      <c r="I296" s="1612"/>
      <c r="J296" s="1612"/>
      <c r="K296" s="1612"/>
      <c r="L296" s="1612"/>
      <c r="M296" s="1612"/>
      <c r="O296" s="221" t="s">
        <v>3061</v>
      </c>
      <c r="P296" s="796" t="s">
        <v>3918</v>
      </c>
      <c r="Q296" s="234"/>
    </row>
    <row r="297" spans="1:256" ht="24" customHeight="1">
      <c r="A297" s="194"/>
      <c r="C297" s="296" t="s">
        <v>2763</v>
      </c>
      <c r="D297" s="297" t="s">
        <v>1765</v>
      </c>
      <c r="E297" s="181"/>
      <c r="F297" s="181"/>
      <c r="G297" s="1616" t="s">
        <v>1769</v>
      </c>
      <c r="H297" s="1617"/>
      <c r="I297" s="1617"/>
      <c r="J297" s="1617"/>
      <c r="K297" s="1617"/>
      <c r="L297" s="1617"/>
      <c r="M297" s="1617"/>
      <c r="N297" s="1618"/>
      <c r="O297" s="301" t="s">
        <v>2763</v>
      </c>
      <c r="P297" s="812" t="s">
        <v>3918</v>
      </c>
      <c r="Q297" s="353"/>
    </row>
    <row r="298" spans="1:256" ht="12.6" customHeight="1">
      <c r="A298" s="194"/>
      <c r="C298" s="296" t="s">
        <v>2764</v>
      </c>
      <c r="D298" s="297" t="s">
        <v>1767</v>
      </c>
      <c r="E298" s="181"/>
      <c r="F298" s="181"/>
      <c r="G298" s="1524" t="s">
        <v>1771</v>
      </c>
      <c r="H298" s="1258"/>
      <c r="I298" s="1258"/>
      <c r="J298" s="1258"/>
      <c r="K298" s="1258"/>
      <c r="L298" s="1258"/>
      <c r="M298" s="1258"/>
      <c r="N298" s="1259"/>
      <c r="O298" s="301" t="s">
        <v>2764</v>
      </c>
      <c r="P298" s="800" t="s">
        <v>3918</v>
      </c>
      <c r="Q298" s="354"/>
    </row>
    <row r="299" spans="1:256" ht="12.6" customHeight="1">
      <c r="A299" s="194"/>
      <c r="C299" s="296"/>
      <c r="D299" s="298"/>
      <c r="E299" s="181"/>
      <c r="F299" s="181"/>
      <c r="G299" s="1613" t="s">
        <v>2779</v>
      </c>
      <c r="H299" s="1614"/>
      <c r="I299" s="1614"/>
      <c r="J299" s="1614"/>
      <c r="K299" s="1614"/>
      <c r="L299" s="1614"/>
      <c r="M299" s="1614"/>
      <c r="N299" s="1615"/>
      <c r="O299" s="301"/>
      <c r="P299" s="801" t="s">
        <v>3918</v>
      </c>
      <c r="Q299" s="355"/>
    </row>
    <row r="300" spans="1:256" ht="24" customHeight="1">
      <c r="A300" s="194"/>
      <c r="C300" s="296" t="s">
        <v>2765</v>
      </c>
      <c r="D300" s="1587" t="s">
        <v>1766</v>
      </c>
      <c r="E300" s="1539"/>
      <c r="F300" s="918"/>
      <c r="G300" s="1530" t="s">
        <v>3368</v>
      </c>
      <c r="H300" s="1620"/>
      <c r="I300" s="1620"/>
      <c r="J300" s="1620"/>
      <c r="K300" s="1620"/>
      <c r="L300" s="1620"/>
      <c r="M300" s="1620"/>
      <c r="N300" s="1621"/>
      <c r="O300" s="301" t="s">
        <v>2765</v>
      </c>
      <c r="P300" s="812" t="s">
        <v>3918</v>
      </c>
      <c r="Q300" s="353"/>
    </row>
    <row r="301" spans="1:256" ht="12.6" customHeight="1">
      <c r="A301" s="194"/>
      <c r="C301" s="296" t="s">
        <v>3569</v>
      </c>
      <c r="D301" s="1587" t="s">
        <v>1768</v>
      </c>
      <c r="E301" s="1587"/>
      <c r="F301" s="1588"/>
      <c r="G301" s="1589" t="s">
        <v>3213</v>
      </c>
      <c r="H301" s="1590"/>
      <c r="I301" s="1590"/>
      <c r="J301" s="1590"/>
      <c r="K301" s="1590"/>
      <c r="L301" s="1590"/>
      <c r="M301" s="1590"/>
      <c r="N301" s="1591"/>
      <c r="O301" s="301" t="s">
        <v>3569</v>
      </c>
      <c r="P301" s="813" t="s">
        <v>3918</v>
      </c>
      <c r="Q301" s="356"/>
    </row>
    <row r="302" spans="1:256" ht="12.6" customHeight="1">
      <c r="A302" s="194"/>
      <c r="C302" s="296"/>
      <c r="D302" s="1587"/>
      <c r="E302" s="1587"/>
      <c r="F302" s="1588"/>
      <c r="G302" s="1518" t="s">
        <v>225</v>
      </c>
      <c r="H302" s="1296"/>
      <c r="I302" s="1296"/>
      <c r="J302" s="1296"/>
      <c r="K302" s="1296"/>
      <c r="L302" s="1296"/>
      <c r="M302" s="1296"/>
      <c r="N302" s="1297"/>
      <c r="P302" s="814" t="s">
        <v>3918</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2919</v>
      </c>
      <c r="D304" s="191"/>
      <c r="E304" s="191"/>
      <c r="F304" s="191"/>
      <c r="G304" s="191"/>
      <c r="H304" s="50"/>
      <c r="I304" s="179"/>
      <c r="J304" s="179"/>
      <c r="K304" s="179"/>
      <c r="L304" s="738"/>
      <c r="M304" s="738"/>
      <c r="N304" s="738"/>
      <c r="O304" s="738"/>
      <c r="P304" s="738"/>
      <c r="Q304" s="63"/>
    </row>
    <row r="305" spans="1:31" ht="11.4" customHeight="1">
      <c r="A305" s="1524"/>
      <c r="B305" s="1525"/>
      <c r="C305" s="1525"/>
      <c r="D305" s="1525"/>
      <c r="E305" s="1525"/>
      <c r="F305" s="1525"/>
      <c r="G305" s="1525"/>
      <c r="H305" s="1525"/>
      <c r="I305" s="1525"/>
      <c r="J305" s="1525"/>
      <c r="K305" s="1525"/>
      <c r="L305" s="1525"/>
      <c r="M305" s="1525"/>
      <c r="N305" s="1525"/>
      <c r="O305" s="1525"/>
      <c r="P305" s="1525"/>
      <c r="Q305" s="1526"/>
      <c r="R305" s="1576" t="s">
        <v>1931</v>
      </c>
      <c r="S305" s="1576"/>
      <c r="U305" s="185"/>
      <c r="V305" s="185"/>
      <c r="W305" s="185"/>
      <c r="X305" s="185"/>
      <c r="Y305" s="185"/>
      <c r="Z305" s="185"/>
      <c r="AA305" s="185"/>
      <c r="AB305" s="185"/>
      <c r="AC305" s="185"/>
      <c r="AD305" s="185"/>
      <c r="AE305" s="186"/>
    </row>
    <row r="306" spans="1:31" ht="11.4" customHeight="1">
      <c r="A306" s="1518"/>
      <c r="B306" s="1519"/>
      <c r="C306" s="1519"/>
      <c r="D306" s="1519"/>
      <c r="E306" s="1519"/>
      <c r="F306" s="1519"/>
      <c r="G306" s="1519"/>
      <c r="H306" s="1519"/>
      <c r="I306" s="1519"/>
      <c r="J306" s="1519"/>
      <c r="K306" s="1519"/>
      <c r="L306" s="1519"/>
      <c r="M306" s="1519"/>
      <c r="N306" s="1519"/>
      <c r="O306" s="1519"/>
      <c r="P306" s="1519"/>
      <c r="Q306" s="1520"/>
      <c r="R306" s="1576"/>
      <c r="S306" s="1576"/>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 customHeight="1">
      <c r="A308" s="1515"/>
      <c r="B308" s="1516"/>
      <c r="C308" s="1516"/>
      <c r="D308" s="1516"/>
      <c r="E308" s="1516"/>
      <c r="F308" s="1516"/>
      <c r="G308" s="1516"/>
      <c r="H308" s="1516"/>
      <c r="I308" s="1516"/>
      <c r="J308" s="1516"/>
      <c r="K308" s="1516"/>
      <c r="L308" s="1516"/>
      <c r="M308" s="1516"/>
      <c r="N308" s="1516"/>
      <c r="O308" s="1516"/>
      <c r="P308" s="1516"/>
      <c r="Q308" s="1517"/>
    </row>
    <row r="309" spans="1:31" ht="11.4" customHeight="1">
      <c r="A309" s="1533"/>
      <c r="B309" s="1534"/>
      <c r="C309" s="1534"/>
      <c r="D309" s="1534"/>
      <c r="E309" s="1534"/>
      <c r="F309" s="1534"/>
      <c r="G309" s="1534"/>
      <c r="H309" s="1534"/>
      <c r="I309" s="1534"/>
      <c r="J309" s="1534"/>
      <c r="K309" s="1534"/>
      <c r="L309" s="1534"/>
      <c r="M309" s="1534"/>
      <c r="N309" s="1534"/>
      <c r="O309" s="1534"/>
      <c r="P309" s="1534"/>
      <c r="Q309" s="1535"/>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5" customHeight="1">
      <c r="A311" s="742">
        <v>19</v>
      </c>
      <c r="B311" s="742" t="s">
        <v>3120</v>
      </c>
      <c r="C311" s="742"/>
      <c r="D311" s="740"/>
      <c r="E311" s="740"/>
      <c r="F311" s="740"/>
      <c r="G311" s="740"/>
      <c r="H311" s="740"/>
      <c r="O311" s="180" t="s">
        <v>2921</v>
      </c>
      <c r="P311" s="1521"/>
      <c r="Q311" s="1522"/>
    </row>
    <row r="312" spans="1:31" ht="3" customHeight="1"/>
    <row r="313" spans="1:31" ht="11.4" customHeight="1">
      <c r="B313" s="195" t="s">
        <v>3512</v>
      </c>
      <c r="P313" s="796" t="s">
        <v>3918</v>
      </c>
      <c r="Q313" s="234"/>
    </row>
    <row r="314" spans="1:31" ht="11.4" customHeight="1">
      <c r="B314" s="195" t="s">
        <v>3513</v>
      </c>
      <c r="P314" s="796" t="s">
        <v>3919</v>
      </c>
      <c r="Q314" s="234"/>
    </row>
    <row r="315" spans="1:31" ht="11.4" customHeight="1">
      <c r="B315" s="195" t="s">
        <v>923</v>
      </c>
      <c r="L315" s="1592" t="s">
        <v>3997</v>
      </c>
      <c r="M315" s="1593"/>
      <c r="N315" s="1593"/>
      <c r="O315" s="1594"/>
      <c r="P315" s="796" t="s">
        <v>3918</v>
      </c>
      <c r="Q315" s="234"/>
    </row>
    <row r="316" spans="1:31" ht="11.4" customHeight="1">
      <c r="B316" s="690" t="s">
        <v>3514</v>
      </c>
      <c r="L316" s="1622"/>
      <c r="M316" s="1623"/>
      <c r="N316" s="1623"/>
      <c r="O316" s="1624"/>
    </row>
    <row r="317" spans="1:31" ht="4.2" customHeight="1">
      <c r="A317" s="189"/>
      <c r="C317" s="190"/>
    </row>
    <row r="318" spans="1:31" ht="11.25" customHeight="1">
      <c r="B318" s="191" t="s">
        <v>2919</v>
      </c>
      <c r="D318" s="191"/>
      <c r="E318" s="191"/>
      <c r="F318" s="191"/>
      <c r="G318" s="191"/>
      <c r="H318" s="50"/>
      <c r="I318" s="179"/>
      <c r="J318" s="179"/>
      <c r="K318" s="179"/>
      <c r="L318" s="738"/>
      <c r="M318" s="738"/>
      <c r="N318" s="738"/>
      <c r="O318" s="738"/>
      <c r="P318" s="738"/>
      <c r="Q318" s="63"/>
    </row>
    <row r="319" spans="1:31" ht="13.2" customHeight="1">
      <c r="A319" s="1524"/>
      <c r="B319" s="1525"/>
      <c r="C319" s="1525"/>
      <c r="D319" s="1525"/>
      <c r="E319" s="1525"/>
      <c r="F319" s="1525"/>
      <c r="G319" s="1525"/>
      <c r="H319" s="1525"/>
      <c r="I319" s="1525"/>
      <c r="J319" s="1525"/>
      <c r="K319" s="1525"/>
      <c r="L319" s="1525"/>
      <c r="M319" s="1525"/>
      <c r="N319" s="1525"/>
      <c r="O319" s="1525"/>
      <c r="P319" s="1525"/>
      <c r="Q319" s="1526"/>
      <c r="R319" s="1540" t="s">
        <v>1931</v>
      </c>
      <c r="S319" s="1540"/>
      <c r="U319" s="185"/>
      <c r="V319" s="185"/>
      <c r="W319" s="185"/>
      <c r="X319" s="185"/>
      <c r="Y319" s="185"/>
      <c r="Z319" s="185"/>
      <c r="AA319" s="185"/>
      <c r="AB319" s="185"/>
      <c r="AC319" s="185"/>
      <c r="AD319" s="185"/>
      <c r="AE319" s="186"/>
    </row>
    <row r="320" spans="1:31" ht="13.2" customHeight="1">
      <c r="A320" s="1544"/>
      <c r="B320" s="1545"/>
      <c r="C320" s="1545"/>
      <c r="D320" s="1545"/>
      <c r="E320" s="1545"/>
      <c r="F320" s="1545"/>
      <c r="G320" s="1545"/>
      <c r="H320" s="1545"/>
      <c r="I320" s="1545"/>
      <c r="J320" s="1545"/>
      <c r="K320" s="1545"/>
      <c r="L320" s="1545"/>
      <c r="M320" s="1545"/>
      <c r="N320" s="1545"/>
      <c r="O320" s="1545"/>
      <c r="P320" s="1545"/>
      <c r="Q320" s="1546"/>
      <c r="R320" s="1540"/>
      <c r="S320" s="1540"/>
    </row>
    <row r="321" spans="1:31" ht="13.2" customHeight="1">
      <c r="A321" s="1518"/>
      <c r="B321" s="1519"/>
      <c r="C321" s="1519"/>
      <c r="D321" s="1519"/>
      <c r="E321" s="1519"/>
      <c r="F321" s="1519"/>
      <c r="G321" s="1519"/>
      <c r="H321" s="1519"/>
      <c r="I321" s="1519"/>
      <c r="J321" s="1519"/>
      <c r="K321" s="1519"/>
      <c r="L321" s="1519"/>
      <c r="M321" s="1519"/>
      <c r="N321" s="1519"/>
      <c r="O321" s="1519"/>
      <c r="P321" s="1519"/>
      <c r="Q321" s="1520"/>
      <c r="R321" s="1540"/>
      <c r="S321" s="1540"/>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2" customHeight="1">
      <c r="A323" s="1515"/>
      <c r="B323" s="1516"/>
      <c r="C323" s="1516"/>
      <c r="D323" s="1516"/>
      <c r="E323" s="1516"/>
      <c r="F323" s="1516"/>
      <c r="G323" s="1516"/>
      <c r="H323" s="1516"/>
      <c r="I323" s="1516"/>
      <c r="J323" s="1516"/>
      <c r="K323" s="1516"/>
      <c r="L323" s="1516"/>
      <c r="M323" s="1516"/>
      <c r="N323" s="1516"/>
      <c r="O323" s="1516"/>
      <c r="P323" s="1516"/>
      <c r="Q323" s="1517"/>
    </row>
    <row r="324" spans="1:31" ht="13.2" customHeight="1">
      <c r="A324" s="1547"/>
      <c r="B324" s="1548"/>
      <c r="C324" s="1548"/>
      <c r="D324" s="1548"/>
      <c r="E324" s="1548"/>
      <c r="F324" s="1548"/>
      <c r="G324" s="1548"/>
      <c r="H324" s="1548"/>
      <c r="I324" s="1548"/>
      <c r="J324" s="1548"/>
      <c r="K324" s="1548"/>
      <c r="L324" s="1548"/>
      <c r="M324" s="1548"/>
      <c r="N324" s="1548"/>
      <c r="O324" s="1548"/>
      <c r="P324" s="1548"/>
      <c r="Q324" s="1549"/>
    </row>
    <row r="325" spans="1:31" ht="13.2" customHeight="1">
      <c r="A325" s="1533"/>
      <c r="B325" s="1534"/>
      <c r="C325" s="1534"/>
      <c r="D325" s="1534"/>
      <c r="E325" s="1534"/>
      <c r="F325" s="1534"/>
      <c r="G325" s="1534"/>
      <c r="H325" s="1534"/>
      <c r="I325" s="1534"/>
      <c r="J325" s="1534"/>
      <c r="K325" s="1534"/>
      <c r="L325" s="1534"/>
      <c r="M325" s="1534"/>
      <c r="N325" s="1534"/>
      <c r="O325" s="1534"/>
      <c r="P325" s="1534"/>
      <c r="Q325" s="1535"/>
    </row>
    <row r="326" spans="1:31" ht="4.2" customHeight="1">
      <c r="B326" s="179"/>
      <c r="C326" s="740"/>
      <c r="D326" s="740"/>
      <c r="E326" s="740"/>
      <c r="F326" s="740"/>
      <c r="G326" s="740"/>
      <c r="H326" s="740"/>
      <c r="I326" s="740"/>
      <c r="J326" s="740"/>
      <c r="K326" s="740"/>
      <c r="L326" s="740"/>
      <c r="M326" s="740"/>
      <c r="Q326" s="63"/>
    </row>
    <row r="327" spans="1:31" ht="13.95" customHeight="1">
      <c r="A327" s="742">
        <v>20</v>
      </c>
      <c r="B327" s="5" t="s">
        <v>470</v>
      </c>
      <c r="C327" s="5"/>
      <c r="D327" s="118"/>
      <c r="E327" s="740"/>
      <c r="F327" s="740"/>
      <c r="G327" s="740"/>
      <c r="H327" s="740"/>
      <c r="I327" s="740"/>
      <c r="J327" s="740"/>
      <c r="K327" s="740"/>
      <c r="L327" s="740"/>
      <c r="M327" s="740"/>
      <c r="O327" s="180" t="s">
        <v>2921</v>
      </c>
      <c r="P327" s="1521"/>
      <c r="Q327" s="1522"/>
    </row>
    <row r="328" spans="1:31" ht="3" customHeight="1"/>
    <row r="329" spans="1:31" ht="22.2" customHeight="1">
      <c r="B329" s="192" t="s">
        <v>3058</v>
      </c>
      <c r="C329" s="1523" t="s">
        <v>2542</v>
      </c>
      <c r="D329" s="1523"/>
      <c r="E329" s="1523"/>
      <c r="F329" s="1523"/>
      <c r="G329" s="1523"/>
      <c r="H329" s="1523"/>
      <c r="I329" s="1523"/>
      <c r="J329" s="1523"/>
      <c r="K329" s="1523"/>
      <c r="L329" s="1523"/>
      <c r="M329" s="1523"/>
      <c r="N329" s="1523"/>
      <c r="O329" s="221" t="s">
        <v>3058</v>
      </c>
      <c r="P329" s="796" t="s">
        <v>3918</v>
      </c>
      <c r="Q329" s="234"/>
    </row>
    <row r="330" spans="1:31" ht="11.4" customHeight="1">
      <c r="B330" s="192" t="s">
        <v>3061</v>
      </c>
      <c r="C330" s="1523" t="s">
        <v>356</v>
      </c>
      <c r="D330" s="1523"/>
      <c r="E330" s="1523"/>
      <c r="F330" s="1523"/>
      <c r="G330" s="1523"/>
      <c r="H330" s="1523"/>
      <c r="I330" s="1523"/>
      <c r="J330" s="1523"/>
      <c r="K330" s="1523"/>
      <c r="L330" s="1523"/>
      <c r="M330" s="740"/>
      <c r="O330" s="221" t="s">
        <v>3061</v>
      </c>
      <c r="P330" s="796" t="s">
        <v>3919</v>
      </c>
      <c r="Q330" s="234"/>
    </row>
    <row r="331" spans="1:31" ht="11.4" customHeight="1">
      <c r="B331" s="192" t="s">
        <v>1237</v>
      </c>
      <c r="C331" s="197" t="s">
        <v>1964</v>
      </c>
      <c r="D331" s="197"/>
      <c r="E331" s="197"/>
      <c r="F331" s="197"/>
      <c r="G331" s="197"/>
      <c r="H331" s="197"/>
      <c r="I331" s="197"/>
      <c r="J331" s="197"/>
      <c r="K331" s="197"/>
      <c r="L331" s="197"/>
      <c r="M331" s="197"/>
      <c r="O331" s="221" t="s">
        <v>1237</v>
      </c>
      <c r="P331" s="796" t="s">
        <v>3918</v>
      </c>
      <c r="Q331" s="234"/>
    </row>
    <row r="332" spans="1:31" ht="22.2" customHeight="1">
      <c r="B332" s="192" t="s">
        <v>3210</v>
      </c>
      <c r="C332" s="1523" t="s">
        <v>1057</v>
      </c>
      <c r="D332" s="1523"/>
      <c r="E332" s="1523"/>
      <c r="F332" s="1523"/>
      <c r="G332" s="1523"/>
      <c r="H332" s="1523"/>
      <c r="I332" s="1523"/>
      <c r="J332" s="1523"/>
      <c r="K332" s="1523"/>
      <c r="L332" s="1523"/>
      <c r="M332" s="1523"/>
      <c r="N332" s="1523"/>
      <c r="O332" s="221" t="s">
        <v>3210</v>
      </c>
      <c r="P332" s="796" t="s">
        <v>3918</v>
      </c>
      <c r="Q332" s="234"/>
    </row>
    <row r="333" spans="1:31" ht="11.25" customHeight="1">
      <c r="B333" s="191" t="s">
        <v>2919</v>
      </c>
      <c r="D333" s="191"/>
      <c r="E333" s="191"/>
      <c r="F333" s="191"/>
      <c r="G333" s="191"/>
      <c r="H333" s="50"/>
      <c r="I333" s="179"/>
      <c r="J333" s="179"/>
      <c r="K333" s="179"/>
      <c r="L333" s="738"/>
      <c r="M333" s="738"/>
      <c r="N333" s="738"/>
      <c r="O333" s="738"/>
      <c r="P333" s="738"/>
      <c r="Q333" s="63"/>
    </row>
    <row r="334" spans="1:31" ht="11.4" customHeight="1">
      <c r="A334" s="1524" t="s">
        <v>4046</v>
      </c>
      <c r="B334" s="1525"/>
      <c r="C334" s="1525"/>
      <c r="D334" s="1525"/>
      <c r="E334" s="1525"/>
      <c r="F334" s="1525"/>
      <c r="G334" s="1525"/>
      <c r="H334" s="1525"/>
      <c r="I334" s="1525"/>
      <c r="J334" s="1525"/>
      <c r="K334" s="1525"/>
      <c r="L334" s="1525"/>
      <c r="M334" s="1525"/>
      <c r="N334" s="1525"/>
      <c r="O334" s="1525"/>
      <c r="P334" s="1525"/>
      <c r="Q334" s="1526"/>
      <c r="U334" s="185"/>
      <c r="V334" s="185"/>
      <c r="W334" s="185"/>
      <c r="X334" s="185"/>
      <c r="Y334" s="185"/>
      <c r="Z334" s="185"/>
      <c r="AA334" s="185"/>
      <c r="AB334" s="185"/>
      <c r="AC334" s="185"/>
      <c r="AD334" s="185"/>
      <c r="AE334" s="186"/>
    </row>
    <row r="335" spans="1:31" ht="11.4" customHeight="1">
      <c r="A335" s="1518"/>
      <c r="B335" s="1519"/>
      <c r="C335" s="1519"/>
      <c r="D335" s="1519"/>
      <c r="E335" s="1519"/>
      <c r="F335" s="1519"/>
      <c r="G335" s="1519"/>
      <c r="H335" s="1519"/>
      <c r="I335" s="1519"/>
      <c r="J335" s="1519"/>
      <c r="K335" s="1519"/>
      <c r="L335" s="1519"/>
      <c r="M335" s="1519"/>
      <c r="N335" s="1519"/>
      <c r="O335" s="1519"/>
      <c r="P335" s="1519"/>
      <c r="Q335" s="1520"/>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 customHeight="1">
      <c r="A338" s="1515"/>
      <c r="B338" s="1516"/>
      <c r="C338" s="1516"/>
      <c r="D338" s="1516"/>
      <c r="E338" s="1516"/>
      <c r="F338" s="1516"/>
      <c r="G338" s="1516"/>
      <c r="H338" s="1516"/>
      <c r="I338" s="1516"/>
      <c r="J338" s="1516"/>
      <c r="K338" s="1516"/>
      <c r="L338" s="1516"/>
      <c r="M338" s="1516"/>
      <c r="N338" s="1516"/>
      <c r="O338" s="1516"/>
      <c r="P338" s="1516"/>
      <c r="Q338" s="1517"/>
    </row>
    <row r="339" spans="1:31" ht="11.4" customHeight="1">
      <c r="A339" s="1533"/>
      <c r="B339" s="1534"/>
      <c r="C339" s="1534"/>
      <c r="D339" s="1534"/>
      <c r="E339" s="1534"/>
      <c r="F339" s="1534"/>
      <c r="G339" s="1534"/>
      <c r="H339" s="1534"/>
      <c r="I339" s="1534"/>
      <c r="J339" s="1534"/>
      <c r="K339" s="1534"/>
      <c r="L339" s="1534"/>
      <c r="M339" s="1534"/>
      <c r="N339" s="1534"/>
      <c r="O339" s="1534"/>
      <c r="P339" s="1534"/>
      <c r="Q339" s="1535"/>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5" customHeight="1">
      <c r="A341" s="742">
        <v>21</v>
      </c>
      <c r="B341" s="5" t="s">
        <v>1552</v>
      </c>
      <c r="C341" s="5"/>
      <c r="D341" s="5"/>
      <c r="E341" s="5"/>
      <c r="F341" s="5"/>
      <c r="G341" s="5"/>
      <c r="H341" s="740"/>
      <c r="I341" s="740"/>
      <c r="J341" s="740"/>
      <c r="K341" s="740"/>
      <c r="L341" s="740"/>
      <c r="M341" s="740"/>
      <c r="O341" s="180" t="s">
        <v>2921</v>
      </c>
      <c r="P341" s="1521"/>
      <c r="Q341" s="1522"/>
    </row>
    <row r="342" spans="1:31" ht="12" customHeight="1">
      <c r="B342" s="57" t="s">
        <v>3058</v>
      </c>
      <c r="C342" s="160" t="s">
        <v>2082</v>
      </c>
      <c r="D342" s="746"/>
      <c r="E342" s="746"/>
      <c r="F342" s="746"/>
      <c r="G342" s="746"/>
      <c r="H342" s="746"/>
      <c r="I342" s="52"/>
      <c r="J342" s="62" t="s">
        <v>3058</v>
      </c>
      <c r="K342" s="1527"/>
      <c r="L342" s="1528"/>
      <c r="M342" s="1528"/>
      <c r="N342" s="1528"/>
      <c r="O342" s="1529"/>
      <c r="P342" s="796"/>
      <c r="Q342" s="234"/>
    </row>
    <row r="343" spans="1:31" ht="24" customHeight="1">
      <c r="B343" s="192" t="s">
        <v>3061</v>
      </c>
      <c r="C343" s="1497" t="s">
        <v>2905</v>
      </c>
      <c r="D343" s="1497"/>
      <c r="E343" s="1497"/>
      <c r="F343" s="1497"/>
      <c r="G343" s="1497"/>
      <c r="H343" s="1497"/>
      <c r="I343" s="1497"/>
      <c r="J343" s="1497"/>
      <c r="K343" s="1497"/>
      <c r="L343" s="1497"/>
      <c r="M343" s="1497"/>
      <c r="O343" s="221" t="s">
        <v>3061</v>
      </c>
      <c r="P343" s="812"/>
      <c r="Q343" s="234"/>
    </row>
    <row r="344" spans="1:31" ht="12" customHeight="1">
      <c r="B344" s="57" t="s">
        <v>1237</v>
      </c>
      <c r="C344" s="65" t="s">
        <v>1553</v>
      </c>
      <c r="D344" s="65"/>
      <c r="E344" s="65"/>
      <c r="F344" s="65"/>
      <c r="G344" s="65"/>
      <c r="H344" s="65"/>
      <c r="I344" s="65"/>
      <c r="J344" s="65"/>
      <c r="K344" s="65"/>
      <c r="L344" s="40"/>
      <c r="M344" s="40"/>
      <c r="O344" s="62" t="s">
        <v>1237</v>
      </c>
      <c r="P344" s="796"/>
      <c r="Q344" s="234"/>
    </row>
    <row r="345" spans="1:31" ht="12" customHeight="1">
      <c r="B345" s="57" t="s">
        <v>3210</v>
      </c>
      <c r="C345" s="65" t="s">
        <v>355</v>
      </c>
      <c r="D345" s="65"/>
      <c r="E345" s="65"/>
      <c r="F345" s="65"/>
      <c r="G345" s="65"/>
      <c r="H345" s="65"/>
      <c r="I345" s="65"/>
      <c r="J345" s="65"/>
      <c r="K345" s="65"/>
      <c r="L345" s="65"/>
      <c r="M345" s="65"/>
      <c r="O345" s="62" t="s">
        <v>3210</v>
      </c>
      <c r="P345" s="796"/>
      <c r="Q345" s="234"/>
    </row>
    <row r="346" spans="1:31" ht="22.95" customHeight="1">
      <c r="B346" s="192" t="s">
        <v>2761</v>
      </c>
      <c r="C346" s="1523" t="s">
        <v>429</v>
      </c>
      <c r="D346" s="1523"/>
      <c r="E346" s="1523"/>
      <c r="F346" s="1523"/>
      <c r="G346" s="1523"/>
      <c r="H346" s="1523"/>
      <c r="I346" s="1523"/>
      <c r="J346" s="1523"/>
      <c r="K346" s="1523"/>
      <c r="L346" s="1523"/>
      <c r="M346" s="1523"/>
      <c r="N346" s="1523"/>
      <c r="O346" s="221" t="s">
        <v>2761</v>
      </c>
      <c r="P346" s="812"/>
      <c r="Q346" s="353"/>
    </row>
    <row r="347" spans="1:31" ht="12" customHeight="1">
      <c r="B347" s="57" t="s">
        <v>2762</v>
      </c>
      <c r="C347" s="65" t="s">
        <v>1984</v>
      </c>
      <c r="D347" s="65"/>
      <c r="E347" s="65"/>
      <c r="F347" s="65"/>
      <c r="G347" s="65"/>
      <c r="H347" s="65"/>
      <c r="I347" s="65"/>
      <c r="J347" s="65"/>
      <c r="K347" s="65"/>
      <c r="L347" s="65"/>
      <c r="M347" s="65"/>
      <c r="O347" s="62" t="s">
        <v>2762</v>
      </c>
      <c r="P347" s="796"/>
      <c r="Q347" s="234"/>
    </row>
    <row r="348" spans="1:31" ht="11.25" customHeight="1">
      <c r="B348" s="191" t="s">
        <v>2919</v>
      </c>
      <c r="D348" s="191"/>
      <c r="E348" s="191"/>
      <c r="F348" s="191"/>
      <c r="G348" s="191"/>
      <c r="H348" s="50"/>
      <c r="I348" s="179"/>
      <c r="J348" s="179"/>
      <c r="K348" s="179"/>
      <c r="L348" s="738"/>
      <c r="M348" s="738"/>
      <c r="N348" s="738"/>
      <c r="O348" s="738"/>
      <c r="P348" s="738"/>
      <c r="Q348" s="63"/>
    </row>
    <row r="349" spans="1:31" ht="11.4" customHeight="1">
      <c r="A349" s="1530" t="s">
        <v>4013</v>
      </c>
      <c r="B349" s="1531"/>
      <c r="C349" s="1531"/>
      <c r="D349" s="1531"/>
      <c r="E349" s="1531"/>
      <c r="F349" s="1531"/>
      <c r="G349" s="1531"/>
      <c r="H349" s="1531"/>
      <c r="I349" s="1531"/>
      <c r="J349" s="1531"/>
      <c r="K349" s="1531"/>
      <c r="L349" s="1531"/>
      <c r="M349" s="1531"/>
      <c r="N349" s="1531"/>
      <c r="O349" s="1531"/>
      <c r="P349" s="1531"/>
      <c r="Q349" s="1532"/>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 customHeight="1">
      <c r="A351" s="1573"/>
      <c r="B351" s="1574"/>
      <c r="C351" s="1574"/>
      <c r="D351" s="1574"/>
      <c r="E351" s="1574"/>
      <c r="F351" s="1574"/>
      <c r="G351" s="1574"/>
      <c r="H351" s="1574"/>
      <c r="I351" s="1574"/>
      <c r="J351" s="1574"/>
      <c r="K351" s="1574"/>
      <c r="L351" s="1574"/>
      <c r="M351" s="1574"/>
      <c r="N351" s="1574"/>
      <c r="O351" s="1574"/>
      <c r="P351" s="1574"/>
      <c r="Q351" s="1575"/>
    </row>
    <row r="352" spans="1:31" ht="6" customHeight="1">
      <c r="A352" s="738"/>
      <c r="B352" s="179"/>
      <c r="C352" s="740"/>
      <c r="D352" s="740"/>
      <c r="E352" s="740"/>
      <c r="F352" s="740"/>
      <c r="G352" s="740"/>
      <c r="H352" s="740"/>
      <c r="I352" s="740"/>
      <c r="J352" s="740"/>
      <c r="K352" s="740"/>
      <c r="L352" s="740"/>
      <c r="M352" s="740"/>
      <c r="Q352" s="63"/>
    </row>
    <row r="353" spans="1:31" ht="13.95" customHeight="1">
      <c r="A353" s="742">
        <v>22</v>
      </c>
      <c r="B353" s="5" t="s">
        <v>3753</v>
      </c>
      <c r="C353" s="5"/>
      <c r="D353" s="5"/>
      <c r="E353" s="5"/>
      <c r="F353" s="5"/>
      <c r="G353" s="5"/>
      <c r="H353" s="740"/>
      <c r="I353" s="740"/>
      <c r="J353" s="740"/>
      <c r="O353" s="180" t="s">
        <v>2921</v>
      </c>
      <c r="P353" s="1521"/>
      <c r="Q353" s="1522"/>
    </row>
    <row r="354" spans="1:31" ht="11.4" customHeight="1">
      <c r="B354" s="57" t="s">
        <v>3058</v>
      </c>
      <c r="C354" s="160" t="s">
        <v>1656</v>
      </c>
      <c r="D354" s="746"/>
      <c r="E354" s="746"/>
      <c r="F354" s="746"/>
      <c r="G354" s="746"/>
      <c r="H354" s="746"/>
      <c r="I354" s="52"/>
      <c r="J354" s="62" t="s">
        <v>3058</v>
      </c>
      <c r="K354" s="1527"/>
      <c r="L354" s="1528"/>
      <c r="M354" s="1528"/>
      <c r="N354" s="1528"/>
      <c r="O354" s="1529"/>
      <c r="P354" s="796"/>
      <c r="Q354" s="234"/>
    </row>
    <row r="355" spans="1:31" ht="11.4" customHeight="1">
      <c r="B355" s="57" t="s">
        <v>3061</v>
      </c>
      <c r="C355" s="65" t="s">
        <v>2766</v>
      </c>
      <c r="D355" s="65"/>
      <c r="E355" s="65"/>
      <c r="F355" s="65"/>
      <c r="G355" s="65"/>
      <c r="H355" s="65"/>
      <c r="I355" s="65"/>
      <c r="J355" s="65"/>
      <c r="K355" s="65"/>
      <c r="L355" s="40"/>
      <c r="M355" s="40"/>
      <c r="O355" s="62" t="s">
        <v>3061</v>
      </c>
      <c r="P355" s="796"/>
      <c r="Q355" s="234"/>
    </row>
    <row r="356" spans="1:31" ht="11.4" customHeight="1">
      <c r="B356" s="57" t="s">
        <v>1237</v>
      </c>
      <c r="C356" s="65" t="s">
        <v>2146</v>
      </c>
      <c r="D356" s="65"/>
      <c r="E356" s="65"/>
      <c r="F356" s="65"/>
      <c r="G356" s="65"/>
      <c r="H356" s="65"/>
      <c r="I356" s="65"/>
      <c r="J356" s="65"/>
      <c r="K356" s="65"/>
      <c r="L356" s="65"/>
      <c r="M356" s="65"/>
      <c r="O356" s="62" t="s">
        <v>1237</v>
      </c>
      <c r="P356" s="796"/>
      <c r="Q356" s="234"/>
    </row>
    <row r="357" spans="1:31" ht="11.4" customHeight="1">
      <c r="B357" s="57" t="s">
        <v>3210</v>
      </c>
      <c r="C357" s="65" t="s">
        <v>3088</v>
      </c>
      <c r="D357" s="65"/>
      <c r="E357" s="65"/>
      <c r="F357" s="65"/>
      <c r="G357" s="65"/>
      <c r="H357" s="65"/>
      <c r="I357" s="65"/>
      <c r="J357" s="65"/>
      <c r="K357" s="65"/>
      <c r="L357" s="65"/>
      <c r="M357" s="65"/>
      <c r="O357" s="62" t="s">
        <v>3210</v>
      </c>
      <c r="P357" s="796"/>
      <c r="Q357" s="234"/>
    </row>
    <row r="358" spans="1:31" ht="22.2" customHeight="1">
      <c r="B358" s="192" t="s">
        <v>2761</v>
      </c>
      <c r="C358" s="1523" t="s">
        <v>635</v>
      </c>
      <c r="D358" s="1523"/>
      <c r="E358" s="1523"/>
      <c r="F358" s="1523"/>
      <c r="G358" s="1523"/>
      <c r="H358" s="1523"/>
      <c r="I358" s="1523"/>
      <c r="J358" s="1523"/>
      <c r="K358" s="1523"/>
      <c r="L358" s="1523"/>
      <c r="M358" s="1523"/>
      <c r="N358" s="1523"/>
      <c r="O358" s="221" t="s">
        <v>2761</v>
      </c>
      <c r="P358" s="796"/>
      <c r="Q358" s="234"/>
    </row>
    <row r="359" spans="1:31" ht="20.399999999999999" customHeight="1">
      <c r="B359" s="192" t="s">
        <v>2762</v>
      </c>
      <c r="C359" s="1497" t="s">
        <v>230</v>
      </c>
      <c r="D359" s="1497"/>
      <c r="E359" s="1497"/>
      <c r="F359" s="1497"/>
      <c r="G359" s="1497"/>
      <c r="H359" s="1497"/>
      <c r="I359" s="1497"/>
      <c r="J359" s="1497"/>
      <c r="K359" s="1497"/>
      <c r="L359" s="1497"/>
      <c r="M359" s="1497"/>
      <c r="N359" s="1497"/>
      <c r="O359" s="221" t="s">
        <v>2762</v>
      </c>
      <c r="P359" s="812"/>
      <c r="Q359" s="234"/>
    </row>
    <row r="360" spans="1:31" ht="11.4" customHeight="1">
      <c r="B360" s="57" t="s">
        <v>3018</v>
      </c>
      <c r="C360" s="40" t="s">
        <v>850</v>
      </c>
      <c r="D360" s="204"/>
      <c r="E360" s="204"/>
      <c r="F360" s="204"/>
      <c r="G360" s="204"/>
      <c r="H360" s="204"/>
      <c r="I360" s="204"/>
      <c r="J360" s="204"/>
      <c r="K360" s="204"/>
      <c r="L360" s="204"/>
      <c r="M360" s="204"/>
      <c r="O360" s="62" t="s">
        <v>3018</v>
      </c>
      <c r="P360" s="796"/>
      <c r="Q360" s="234"/>
    </row>
    <row r="361" spans="1:31" ht="11.25" customHeight="1">
      <c r="B361" s="191" t="s">
        <v>2919</v>
      </c>
      <c r="D361" s="191"/>
      <c r="E361" s="191"/>
      <c r="F361" s="191"/>
      <c r="G361" s="191"/>
      <c r="H361" s="50"/>
      <c r="I361" s="179"/>
      <c r="J361" s="179"/>
      <c r="K361" s="179"/>
      <c r="L361" s="738"/>
      <c r="M361" s="738"/>
      <c r="N361" s="738"/>
      <c r="O361" s="738"/>
      <c r="P361" s="738"/>
      <c r="Q361" s="63"/>
    </row>
    <row r="362" spans="1:31" ht="11.4" customHeight="1">
      <c r="A362" s="1530" t="s">
        <v>4013</v>
      </c>
      <c r="B362" s="1531"/>
      <c r="C362" s="1531"/>
      <c r="D362" s="1531"/>
      <c r="E362" s="1531"/>
      <c r="F362" s="1531"/>
      <c r="G362" s="1531"/>
      <c r="H362" s="1531"/>
      <c r="I362" s="1531"/>
      <c r="J362" s="1531"/>
      <c r="K362" s="1531"/>
      <c r="L362" s="1531"/>
      <c r="M362" s="1531"/>
      <c r="N362" s="1531"/>
      <c r="O362" s="1531"/>
      <c r="P362" s="1531"/>
      <c r="Q362" s="1532"/>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 customHeight="1">
      <c r="A364" s="1573"/>
      <c r="B364" s="1574"/>
      <c r="C364" s="1574"/>
      <c r="D364" s="1574"/>
      <c r="E364" s="1574"/>
      <c r="F364" s="1574"/>
      <c r="G364" s="1574"/>
      <c r="H364" s="1574"/>
      <c r="I364" s="1574"/>
      <c r="J364" s="1574"/>
      <c r="K364" s="1574"/>
      <c r="L364" s="1574"/>
      <c r="M364" s="1574"/>
      <c r="N364" s="1574"/>
      <c r="O364" s="1574"/>
      <c r="P364" s="1574"/>
      <c r="Q364" s="1575"/>
    </row>
    <row r="365" spans="1:31" ht="3.6" customHeight="1">
      <c r="A365" s="738"/>
      <c r="B365" s="179"/>
      <c r="C365" s="740"/>
      <c r="D365" s="740"/>
      <c r="E365" s="740"/>
      <c r="F365" s="740"/>
      <c r="G365" s="740"/>
      <c r="H365" s="740"/>
      <c r="I365" s="740"/>
      <c r="J365" s="740"/>
      <c r="K365" s="740"/>
      <c r="L365" s="740"/>
      <c r="M365" s="740"/>
      <c r="Q365" s="63"/>
    </row>
    <row r="366" spans="1:31" ht="13.95" customHeight="1">
      <c r="A366" s="742">
        <v>23</v>
      </c>
      <c r="B366" s="5" t="s">
        <v>1081</v>
      </c>
      <c r="C366" s="5"/>
      <c r="D366" s="118"/>
      <c r="E366" s="740"/>
      <c r="F366" s="740"/>
      <c r="G366" s="740"/>
      <c r="H366" s="740"/>
      <c r="I366" s="740"/>
      <c r="J366" s="740"/>
      <c r="K366" s="740"/>
      <c r="L366" s="740"/>
      <c r="M366" s="740"/>
      <c r="O366" s="180" t="s">
        <v>2921</v>
      </c>
      <c r="P366" s="1521"/>
      <c r="Q366" s="1522"/>
    </row>
    <row r="367" spans="1:31" s="2" customFormat="1" ht="23.4" customHeight="1">
      <c r="B367" s="192" t="s">
        <v>3058</v>
      </c>
      <c r="C367" s="1523" t="s">
        <v>201</v>
      </c>
      <c r="D367" s="1523"/>
      <c r="E367" s="1523"/>
      <c r="F367" s="1523"/>
      <c r="G367" s="1523"/>
      <c r="H367" s="1523"/>
      <c r="I367" s="1523"/>
      <c r="J367" s="1523"/>
      <c r="K367" s="1523"/>
      <c r="L367" s="1523"/>
      <c r="M367" s="221" t="s">
        <v>3058</v>
      </c>
      <c r="N367" s="1560" t="s">
        <v>2799</v>
      </c>
      <c r="O367" s="1561"/>
      <c r="P367" s="1570" t="s">
        <v>2799</v>
      </c>
      <c r="Q367" s="1571"/>
    </row>
    <row r="368" spans="1:31" s="2" customFormat="1" ht="12" customHeight="1">
      <c r="B368" s="57" t="s">
        <v>3061</v>
      </c>
      <c r="C368" s="157" t="s">
        <v>2</v>
      </c>
      <c r="D368" s="204"/>
      <c r="E368" s="204"/>
      <c r="G368" s="62" t="s">
        <v>3061</v>
      </c>
      <c r="H368" s="1562"/>
      <c r="I368" s="1563"/>
      <c r="J368" s="1563"/>
      <c r="K368" s="1563"/>
      <c r="L368" s="1563"/>
      <c r="M368" s="1563"/>
      <c r="N368" s="1563"/>
      <c r="O368" s="1564"/>
      <c r="P368" s="796"/>
      <c r="Q368" s="234"/>
    </row>
    <row r="369" spans="1:31" s="2" customFormat="1" ht="12" customHeight="1">
      <c r="B369" s="57" t="s">
        <v>1237</v>
      </c>
      <c r="C369" s="40" t="s">
        <v>2124</v>
      </c>
      <c r="D369" s="12"/>
      <c r="E369" s="12"/>
      <c r="F369" s="12"/>
      <c r="G369" s="8"/>
      <c r="H369" s="8"/>
      <c r="I369" s="40"/>
      <c r="K369" s="8"/>
      <c r="L369" s="8"/>
      <c r="M369" s="8"/>
      <c r="O369" s="62" t="s">
        <v>1237</v>
      </c>
      <c r="P369" s="796"/>
      <c r="Q369" s="234"/>
    </row>
    <row r="370" spans="1:31" ht="11.25" customHeight="1">
      <c r="B370" s="191" t="s">
        <v>2919</v>
      </c>
      <c r="D370" s="191"/>
      <c r="E370" s="191"/>
      <c r="F370" s="191"/>
      <c r="G370" s="191"/>
      <c r="H370" s="50"/>
      <c r="I370" s="179"/>
      <c r="J370" s="179"/>
      <c r="K370" s="179"/>
      <c r="L370" s="738"/>
      <c r="M370" s="738"/>
      <c r="N370" s="738"/>
      <c r="O370" s="738"/>
      <c r="P370" s="738"/>
      <c r="Q370" s="63"/>
    </row>
    <row r="371" spans="1:31" ht="11.4" customHeight="1">
      <c r="A371" s="1524" t="s">
        <v>4013</v>
      </c>
      <c r="B371" s="1525"/>
      <c r="C371" s="1525"/>
      <c r="D371" s="1525"/>
      <c r="E371" s="1525"/>
      <c r="F371" s="1525"/>
      <c r="G371" s="1525"/>
      <c r="H371" s="1525"/>
      <c r="I371" s="1525"/>
      <c r="J371" s="1525"/>
      <c r="K371" s="1525"/>
      <c r="L371" s="1525"/>
      <c r="M371" s="1525"/>
      <c r="N371" s="1525"/>
      <c r="O371" s="1525"/>
      <c r="P371" s="1525"/>
      <c r="Q371" s="1526"/>
      <c r="R371" s="1540" t="s">
        <v>1931</v>
      </c>
      <c r="S371" s="1540"/>
      <c r="U371" s="185"/>
      <c r="V371" s="185"/>
      <c r="W371" s="185"/>
      <c r="X371" s="185"/>
      <c r="Y371" s="185"/>
      <c r="Z371" s="185"/>
      <c r="AA371" s="185"/>
      <c r="AB371" s="185"/>
      <c r="AC371" s="185"/>
      <c r="AD371" s="185"/>
      <c r="AE371" s="186"/>
    </row>
    <row r="372" spans="1:31" ht="11.4" customHeight="1">
      <c r="A372" s="1518"/>
      <c r="B372" s="1519"/>
      <c r="C372" s="1519"/>
      <c r="D372" s="1519"/>
      <c r="E372" s="1519"/>
      <c r="F372" s="1519"/>
      <c r="G372" s="1519"/>
      <c r="H372" s="1519"/>
      <c r="I372" s="1519"/>
      <c r="J372" s="1519"/>
      <c r="K372" s="1519"/>
      <c r="L372" s="1519"/>
      <c r="M372" s="1519"/>
      <c r="N372" s="1519"/>
      <c r="O372" s="1519"/>
      <c r="P372" s="1519"/>
      <c r="Q372" s="1520"/>
      <c r="R372" s="1540"/>
      <c r="S372" s="1540"/>
    </row>
    <row r="373" spans="1:31" s="31" customFormat="1" ht="3" customHeight="1">
      <c r="C373" s="134"/>
      <c r="D373" s="134"/>
      <c r="R373" s="1540"/>
      <c r="S373" s="1540"/>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 customHeight="1">
      <c r="A375" s="1515"/>
      <c r="B375" s="1516"/>
      <c r="C375" s="1516"/>
      <c r="D375" s="1516"/>
      <c r="E375" s="1516"/>
      <c r="F375" s="1516"/>
      <c r="G375" s="1516"/>
      <c r="H375" s="1516"/>
      <c r="I375" s="1516"/>
      <c r="J375" s="1516"/>
      <c r="K375" s="1516"/>
      <c r="L375" s="1516"/>
      <c r="M375" s="1516"/>
      <c r="N375" s="1516"/>
      <c r="O375" s="1516"/>
      <c r="P375" s="1516"/>
      <c r="Q375" s="1517"/>
    </row>
    <row r="376" spans="1:31" ht="11.4" customHeight="1">
      <c r="A376" s="1533"/>
      <c r="B376" s="1534"/>
      <c r="C376" s="1534"/>
      <c r="D376" s="1534"/>
      <c r="E376" s="1534"/>
      <c r="F376" s="1534"/>
      <c r="G376" s="1534"/>
      <c r="H376" s="1534"/>
      <c r="I376" s="1534"/>
      <c r="J376" s="1534"/>
      <c r="K376" s="1534"/>
      <c r="L376" s="1534"/>
      <c r="M376" s="1534"/>
      <c r="N376" s="1534"/>
      <c r="O376" s="1534"/>
      <c r="P376" s="1534"/>
      <c r="Q376" s="1535"/>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5" customHeight="1">
      <c r="A378" s="742">
        <v>24</v>
      </c>
      <c r="B378" s="5" t="s">
        <v>2528</v>
      </c>
      <c r="C378" s="5"/>
      <c r="D378" s="5"/>
      <c r="E378" s="740"/>
      <c r="F378" s="190" t="s">
        <v>1056</v>
      </c>
      <c r="G378" s="740"/>
      <c r="H378" s="740"/>
      <c r="I378" s="740"/>
      <c r="J378" s="740"/>
      <c r="K378" s="740"/>
      <c r="L378" s="740"/>
      <c r="M378" s="740"/>
      <c r="O378" s="180" t="s">
        <v>2921</v>
      </c>
      <c r="P378" s="1521"/>
      <c r="Q378" s="1569"/>
    </row>
    <row r="379" spans="1:31" ht="12" customHeight="1">
      <c r="A379" s="194"/>
      <c r="B379" s="57" t="s">
        <v>3058</v>
      </c>
      <c r="C379" s="65" t="s">
        <v>2125</v>
      </c>
      <c r="D379" s="743"/>
      <c r="E379" s="743"/>
      <c r="H379" s="190"/>
      <c r="O379" s="62" t="s">
        <v>3058</v>
      </c>
      <c r="P379" s="796" t="s">
        <v>3918</v>
      </c>
      <c r="Q379" s="234"/>
    </row>
    <row r="380" spans="1:31" ht="12" customHeight="1">
      <c r="A380" s="194"/>
      <c r="B380" s="57" t="s">
        <v>3061</v>
      </c>
      <c r="C380" s="65" t="s">
        <v>1240</v>
      </c>
      <c r="D380" s="743"/>
      <c r="E380" s="743"/>
      <c r="O380" s="62" t="s">
        <v>3061</v>
      </c>
      <c r="P380" s="796" t="s">
        <v>3919</v>
      </c>
      <c r="Q380" s="234"/>
    </row>
    <row r="381" spans="1:31" ht="12" customHeight="1">
      <c r="A381" s="194"/>
      <c r="B381" s="57" t="s">
        <v>1237</v>
      </c>
      <c r="C381" s="65" t="s">
        <v>1241</v>
      </c>
      <c r="D381" s="743"/>
      <c r="E381" s="743"/>
      <c r="O381" s="62" t="s">
        <v>1237</v>
      </c>
      <c r="P381" s="796" t="s">
        <v>3919</v>
      </c>
      <c r="Q381" s="234"/>
    </row>
    <row r="382" spans="1:31" ht="12" customHeight="1">
      <c r="A382" s="194"/>
      <c r="B382" s="57" t="s">
        <v>3210</v>
      </c>
      <c r="C382" s="65" t="s">
        <v>876</v>
      </c>
      <c r="E382" s="190"/>
      <c r="O382" s="62" t="s">
        <v>3210</v>
      </c>
      <c r="P382" s="796" t="s">
        <v>3919</v>
      </c>
      <c r="Q382" s="234"/>
    </row>
    <row r="383" spans="1:31" ht="12" customHeight="1">
      <c r="B383" s="57" t="s">
        <v>2761</v>
      </c>
      <c r="C383" s="65" t="s">
        <v>3173</v>
      </c>
      <c r="E383" s="190"/>
      <c r="G383" s="62" t="s">
        <v>2761</v>
      </c>
      <c r="H383" s="1562"/>
      <c r="I383" s="1563"/>
      <c r="J383" s="1563"/>
      <c r="K383" s="1563"/>
      <c r="L383" s="1563"/>
      <c r="M383" s="1563"/>
      <c r="N383" s="1563"/>
      <c r="O383" s="1564"/>
      <c r="P383" s="796" t="s">
        <v>3919</v>
      </c>
      <c r="Q383" s="234"/>
    </row>
    <row r="384" spans="1:31" ht="11.25" customHeight="1">
      <c r="B384" s="191" t="s">
        <v>2919</v>
      </c>
      <c r="D384" s="191"/>
      <c r="E384" s="191"/>
      <c r="F384" s="191"/>
      <c r="G384" s="191"/>
      <c r="H384" s="50"/>
      <c r="I384" s="179"/>
      <c r="J384" s="179"/>
      <c r="K384" s="179"/>
      <c r="L384" s="738"/>
      <c r="M384" s="738"/>
      <c r="N384" s="738"/>
      <c r="O384" s="738"/>
      <c r="P384" s="738"/>
      <c r="Q384" s="63"/>
    </row>
    <row r="385" spans="1:31" ht="11.4" customHeight="1">
      <c r="A385" s="1530" t="s">
        <v>4047</v>
      </c>
      <c r="B385" s="1531"/>
      <c r="C385" s="1531"/>
      <c r="D385" s="1531"/>
      <c r="E385" s="1531"/>
      <c r="F385" s="1531"/>
      <c r="G385" s="1531"/>
      <c r="H385" s="1531"/>
      <c r="I385" s="1531"/>
      <c r="J385" s="1531"/>
      <c r="K385" s="1531"/>
      <c r="L385" s="1531"/>
      <c r="M385" s="1531"/>
      <c r="N385" s="1531"/>
      <c r="O385" s="1531"/>
      <c r="P385" s="1531"/>
      <c r="Q385" s="1532"/>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 customHeight="1">
      <c r="A387" s="1573"/>
      <c r="B387" s="1574"/>
      <c r="C387" s="1574"/>
      <c r="D387" s="1574"/>
      <c r="E387" s="1574"/>
      <c r="F387" s="1574"/>
      <c r="G387" s="1574"/>
      <c r="H387" s="1574"/>
      <c r="I387" s="1574"/>
      <c r="J387" s="1574"/>
      <c r="K387" s="1574"/>
      <c r="L387" s="1574"/>
      <c r="M387" s="1574"/>
      <c r="N387" s="1574"/>
      <c r="O387" s="1574"/>
      <c r="P387" s="1574"/>
      <c r="Q387" s="1575"/>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5" customHeight="1">
      <c r="A389" s="742">
        <v>25</v>
      </c>
      <c r="B389" s="1572" t="s">
        <v>3754</v>
      </c>
      <c r="C389" s="1572"/>
      <c r="D389" s="1572"/>
      <c r="E389" s="1572"/>
      <c r="F389" s="1572"/>
      <c r="G389" s="1572"/>
      <c r="H389" s="740"/>
      <c r="I389" s="740"/>
      <c r="J389" s="740"/>
      <c r="K389" s="740"/>
      <c r="L389" s="740"/>
      <c r="M389" s="740"/>
      <c r="O389" s="180" t="s">
        <v>2921</v>
      </c>
      <c r="P389" s="1521"/>
      <c r="Q389" s="1569"/>
    </row>
    <row r="390" spans="1:31" ht="23.4" customHeight="1">
      <c r="A390" s="189"/>
      <c r="B390" s="192" t="s">
        <v>3058</v>
      </c>
      <c r="C390" s="1523" t="s">
        <v>906</v>
      </c>
      <c r="D390" s="1523"/>
      <c r="E390" s="1523"/>
      <c r="F390" s="1523"/>
      <c r="G390" s="1523"/>
      <c r="H390" s="1523"/>
      <c r="I390" s="1523"/>
      <c r="J390" s="1523"/>
      <c r="K390" s="1523"/>
      <c r="L390" s="1523"/>
      <c r="M390" s="1523"/>
      <c r="N390" s="1523"/>
      <c r="O390" s="221" t="s">
        <v>3058</v>
      </c>
      <c r="P390" s="796" t="s">
        <v>3993</v>
      </c>
      <c r="Q390" s="234"/>
    </row>
    <row r="391" spans="1:31" ht="12" customHeight="1">
      <c r="A391" s="189"/>
      <c r="B391" s="57" t="s">
        <v>3061</v>
      </c>
      <c r="C391" s="197" t="s">
        <v>851</v>
      </c>
      <c r="D391" s="740"/>
      <c r="E391" s="740"/>
      <c r="F391" s="740"/>
      <c r="G391" s="740"/>
      <c r="H391" s="740"/>
      <c r="I391" s="740"/>
      <c r="J391" s="740"/>
      <c r="K391" s="740"/>
      <c r="L391" s="740"/>
      <c r="M391" s="740"/>
      <c r="O391" s="62" t="s">
        <v>3061</v>
      </c>
      <c r="P391" s="796" t="s">
        <v>3918</v>
      </c>
      <c r="Q391" s="234"/>
    </row>
    <row r="392" spans="1:31" ht="11.25" customHeight="1">
      <c r="B392" s="131" t="s">
        <v>2919</v>
      </c>
      <c r="D392" s="131"/>
      <c r="E392" s="131"/>
      <c r="F392" s="131"/>
      <c r="G392" s="131"/>
      <c r="H392" s="50"/>
      <c r="I392" s="179"/>
      <c r="J392" s="179"/>
      <c r="K392" s="187" t="s">
        <v>2920</v>
      </c>
      <c r="L392" s="738"/>
      <c r="M392" s="738"/>
      <c r="N392" s="738"/>
      <c r="O392" s="237"/>
      <c r="P392" s="738"/>
      <c r="Q392" s="63"/>
    </row>
    <row r="393" spans="1:31" ht="11.4" customHeight="1">
      <c r="A393" s="1530"/>
      <c r="B393" s="1531"/>
      <c r="C393" s="1531"/>
      <c r="D393" s="1531"/>
      <c r="E393" s="1531"/>
      <c r="F393" s="1531"/>
      <c r="G393" s="1531"/>
      <c r="H393" s="1531"/>
      <c r="I393" s="1531"/>
      <c r="J393" s="1532"/>
      <c r="K393" s="1573"/>
      <c r="L393" s="1574"/>
      <c r="M393" s="1574"/>
      <c r="N393" s="1574"/>
      <c r="O393" s="1574"/>
      <c r="P393" s="1574"/>
      <c r="Q393" s="1575"/>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5" customHeight="1">
      <c r="A395" s="742">
        <v>26</v>
      </c>
      <c r="B395" s="1572" t="s">
        <v>2003</v>
      </c>
      <c r="C395" s="1572"/>
      <c r="D395" s="1572"/>
      <c r="E395" s="1572"/>
      <c r="F395" s="1572"/>
      <c r="G395" s="1572"/>
      <c r="H395" s="740"/>
      <c r="I395" s="740"/>
      <c r="J395" s="740"/>
      <c r="K395" s="740"/>
      <c r="L395" s="740"/>
      <c r="M395" s="740"/>
      <c r="O395" s="180" t="s">
        <v>2921</v>
      </c>
      <c r="P395" s="1521"/>
      <c r="Q395" s="1569"/>
    </row>
    <row r="396" spans="1:31" ht="12" customHeight="1">
      <c r="A396" s="52"/>
      <c r="B396" s="57" t="s">
        <v>3058</v>
      </c>
      <c r="C396" s="49" t="s">
        <v>1242</v>
      </c>
      <c r="D396" s="52"/>
      <c r="E396" s="52"/>
      <c r="F396" s="52"/>
      <c r="G396" s="52"/>
      <c r="H396" s="52"/>
      <c r="I396" s="52"/>
      <c r="J396" s="52"/>
      <c r="K396" s="52"/>
      <c r="L396" s="52"/>
      <c r="M396" s="52"/>
      <c r="N396" s="52"/>
      <c r="O396" s="62" t="s">
        <v>3058</v>
      </c>
      <c r="P396" s="796" t="s">
        <v>3918</v>
      </c>
      <c r="Q396" s="234"/>
    </row>
    <row r="397" spans="1:31" ht="12" customHeight="1">
      <c r="A397" s="52"/>
      <c r="B397" s="57" t="s">
        <v>3061</v>
      </c>
      <c r="C397" s="49" t="s">
        <v>3312</v>
      </c>
      <c r="D397" s="52"/>
      <c r="E397" s="52"/>
      <c r="F397" s="52"/>
      <c r="G397" s="52"/>
      <c r="H397" s="52"/>
      <c r="I397" s="52"/>
      <c r="J397" s="52"/>
      <c r="K397" s="52"/>
      <c r="L397" s="52"/>
      <c r="M397" s="52"/>
      <c r="N397" s="52"/>
      <c r="O397" s="62" t="s">
        <v>2169</v>
      </c>
      <c r="P397" s="796" t="s">
        <v>3919</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2764</v>
      </c>
      <c r="P399" s="796" t="s">
        <v>3919</v>
      </c>
      <c r="Q399" s="234"/>
    </row>
    <row r="400" spans="1:31" ht="12" customHeight="1">
      <c r="A400" s="52"/>
      <c r="B400" s="57" t="s">
        <v>1237</v>
      </c>
      <c r="C400" s="1497" t="s">
        <v>3311</v>
      </c>
      <c r="D400" s="1497"/>
      <c r="E400" s="1497"/>
      <c r="F400" s="1497"/>
      <c r="G400" s="1497"/>
      <c r="H400" s="1497"/>
      <c r="I400" s="1497"/>
      <c r="J400" s="1497"/>
      <c r="K400" s="1497"/>
      <c r="L400" s="1497"/>
      <c r="M400" s="1497"/>
      <c r="N400" s="1497"/>
      <c r="O400" s="62" t="s">
        <v>1237</v>
      </c>
      <c r="P400" s="796" t="s">
        <v>3918</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2763</v>
      </c>
      <c r="P402" s="815">
        <v>0</v>
      </c>
      <c r="Q402" s="706" t="s">
        <v>311</v>
      </c>
    </row>
    <row r="403" spans="1:31" ht="12" customHeight="1">
      <c r="A403" s="52"/>
      <c r="B403" s="57"/>
      <c r="C403" s="183" t="s">
        <v>3315</v>
      </c>
      <c r="D403" s="52"/>
      <c r="E403" s="52"/>
      <c r="F403" s="40"/>
      <c r="G403" s="40"/>
      <c r="H403" s="52"/>
      <c r="K403" s="40"/>
      <c r="L403" s="40"/>
      <c r="M403" s="40"/>
      <c r="N403" s="52"/>
      <c r="O403" s="62" t="s">
        <v>2764</v>
      </c>
      <c r="P403" s="815">
        <v>3</v>
      </c>
      <c r="Q403" s="706"/>
    </row>
    <row r="404" spans="1:31" ht="12" customHeight="1">
      <c r="A404" s="52"/>
      <c r="B404" s="57"/>
      <c r="C404" s="183" t="s">
        <v>3316</v>
      </c>
      <c r="D404" s="52"/>
      <c r="E404" s="52"/>
      <c r="F404" s="40"/>
      <c r="G404" s="40"/>
      <c r="H404" s="52"/>
      <c r="K404" s="40"/>
      <c r="L404" s="40"/>
      <c r="M404" s="40"/>
      <c r="N404" s="52"/>
      <c r="O404" s="62" t="s">
        <v>2765</v>
      </c>
      <c r="P404" s="815">
        <v>5</v>
      </c>
      <c r="Q404" s="706" t="s">
        <v>311</v>
      </c>
    </row>
    <row r="405" spans="1:31" ht="12" customHeight="1">
      <c r="A405" s="52"/>
      <c r="B405" s="57"/>
      <c r="C405" s="183" t="s">
        <v>3317</v>
      </c>
      <c r="D405" s="52"/>
      <c r="E405" s="52"/>
      <c r="F405" s="40"/>
      <c r="G405" s="40"/>
      <c r="H405" s="52"/>
      <c r="K405" s="40"/>
      <c r="L405" s="40"/>
      <c r="M405" s="40"/>
      <c r="N405" s="52"/>
      <c r="O405" s="62" t="s">
        <v>3569</v>
      </c>
      <c r="P405" s="815">
        <v>0</v>
      </c>
      <c r="Q405" s="706" t="s">
        <v>311</v>
      </c>
    </row>
    <row r="406" spans="1:31" ht="12" customHeight="1">
      <c r="A406" s="52"/>
      <c r="B406" s="57"/>
      <c r="C406" s="183" t="s">
        <v>3318</v>
      </c>
      <c r="D406" s="52"/>
      <c r="E406" s="52"/>
      <c r="F406" s="40"/>
      <c r="G406" s="40"/>
      <c r="H406" s="52"/>
      <c r="K406" s="40"/>
      <c r="L406" s="40"/>
      <c r="M406" s="40"/>
      <c r="N406" s="52"/>
      <c r="O406" s="62" t="s">
        <v>2302</v>
      </c>
      <c r="P406" s="815">
        <v>0</v>
      </c>
      <c r="Q406" s="706" t="s">
        <v>311</v>
      </c>
    </row>
    <row r="407" spans="1:31" ht="12" customHeight="1">
      <c r="A407" s="52"/>
      <c r="B407" s="57" t="s">
        <v>2761</v>
      </c>
      <c r="C407" s="40" t="s">
        <v>3612</v>
      </c>
      <c r="D407" s="40"/>
      <c r="E407" s="40"/>
      <c r="F407" s="40"/>
      <c r="G407" s="40"/>
      <c r="J407" s="52"/>
      <c r="K407" s="40"/>
      <c r="L407" s="40"/>
      <c r="M407" s="40"/>
      <c r="N407" s="52"/>
      <c r="O407" s="62" t="s">
        <v>2761</v>
      </c>
      <c r="P407" s="62"/>
      <c r="Q407" s="62"/>
    </row>
    <row r="408" spans="1:31" ht="12" customHeight="1">
      <c r="A408" s="52"/>
      <c r="B408" s="57"/>
      <c r="C408" s="816" t="s">
        <v>3319</v>
      </c>
      <c r="D408" s="40"/>
      <c r="E408" s="40"/>
      <c r="F408" s="40"/>
      <c r="G408" s="40"/>
      <c r="J408" s="52"/>
      <c r="K408" s="40"/>
      <c r="L408" s="40"/>
      <c r="M408" s="40"/>
      <c r="N408" s="52"/>
      <c r="O408" s="62" t="s">
        <v>2763</v>
      </c>
      <c r="P408" s="796" t="s">
        <v>3918</v>
      </c>
      <c r="Q408" s="234"/>
    </row>
    <row r="409" spans="1:31" ht="12" customHeight="1">
      <c r="A409" s="52"/>
      <c r="B409" s="57"/>
      <c r="C409" s="816" t="s">
        <v>1825</v>
      </c>
      <c r="D409" s="40"/>
      <c r="E409" s="40"/>
      <c r="F409" s="40"/>
      <c r="G409" s="40"/>
      <c r="N409" s="52"/>
      <c r="O409" s="62" t="s">
        <v>2764</v>
      </c>
      <c r="P409" s="796" t="s">
        <v>3918</v>
      </c>
      <c r="Q409" s="234"/>
    </row>
    <row r="410" spans="1:31" ht="12" customHeight="1">
      <c r="A410" s="52"/>
      <c r="C410" s="816" t="s">
        <v>1826</v>
      </c>
      <c r="D410" s="65"/>
      <c r="E410" s="65"/>
      <c r="F410" s="65"/>
      <c r="G410" s="65"/>
      <c r="J410" s="52"/>
      <c r="K410" s="65"/>
      <c r="L410" s="65"/>
      <c r="M410" s="65"/>
      <c r="N410" s="52"/>
      <c r="O410" s="62" t="s">
        <v>2765</v>
      </c>
      <c r="P410" s="796" t="s">
        <v>3918</v>
      </c>
      <c r="Q410" s="234"/>
    </row>
    <row r="411" spans="1:31" ht="12" customHeight="1">
      <c r="A411" s="52"/>
      <c r="B411" s="57"/>
      <c r="C411" s="816" t="s">
        <v>3382</v>
      </c>
      <c r="D411" s="65"/>
      <c r="E411" s="65"/>
      <c r="F411" s="65"/>
      <c r="G411" s="62" t="s">
        <v>3569</v>
      </c>
      <c r="H411" s="1566"/>
      <c r="I411" s="1567"/>
      <c r="J411" s="1567"/>
      <c r="K411" s="1567"/>
      <c r="L411" s="1567"/>
      <c r="M411" s="1567"/>
      <c r="N411" s="1567"/>
      <c r="O411" s="1568"/>
      <c r="P411" s="796"/>
      <c r="Q411" s="234"/>
    </row>
    <row r="412" spans="1:31" ht="12" customHeight="1">
      <c r="B412" s="191" t="s">
        <v>2919</v>
      </c>
      <c r="D412" s="191"/>
      <c r="E412" s="191"/>
      <c r="F412" s="191"/>
      <c r="G412" s="191"/>
      <c r="H412" s="50"/>
      <c r="I412" s="179"/>
      <c r="J412" s="179"/>
      <c r="K412" s="179"/>
      <c r="L412" s="738"/>
      <c r="M412" s="738"/>
      <c r="N412" s="738"/>
      <c r="O412" s="738"/>
      <c r="P412" s="738"/>
      <c r="Q412" s="63"/>
    </row>
    <row r="413" spans="1:31" ht="12" customHeight="1">
      <c r="A413" s="1524" t="s">
        <v>4012</v>
      </c>
      <c r="B413" s="1525"/>
      <c r="C413" s="1525"/>
      <c r="D413" s="1525"/>
      <c r="E413" s="1525"/>
      <c r="F413" s="1525"/>
      <c r="G413" s="1525"/>
      <c r="H413" s="1525"/>
      <c r="I413" s="1525"/>
      <c r="J413" s="1525"/>
      <c r="K413" s="1525"/>
      <c r="L413" s="1525"/>
      <c r="M413" s="1525"/>
      <c r="N413" s="1525"/>
      <c r="O413" s="1525"/>
      <c r="P413" s="1525"/>
      <c r="Q413" s="1526"/>
      <c r="U413" s="185"/>
      <c r="V413" s="185"/>
      <c r="W413" s="185"/>
      <c r="X413" s="185"/>
      <c r="Y413" s="185"/>
      <c r="Z413" s="185"/>
      <c r="AA413" s="185"/>
      <c r="AB413" s="185"/>
      <c r="AC413" s="185"/>
      <c r="AD413" s="185"/>
      <c r="AE413" s="186"/>
    </row>
    <row r="414" spans="1:31" ht="12" customHeight="1">
      <c r="A414" s="1518"/>
      <c r="B414" s="1519"/>
      <c r="C414" s="1519"/>
      <c r="D414" s="1519"/>
      <c r="E414" s="1519"/>
      <c r="F414" s="1519"/>
      <c r="G414" s="1519"/>
      <c r="H414" s="1519"/>
      <c r="I414" s="1519"/>
      <c r="J414" s="1519"/>
      <c r="K414" s="1519"/>
      <c r="L414" s="1519"/>
      <c r="M414" s="1519"/>
      <c r="N414" s="1519"/>
      <c r="O414" s="1519"/>
      <c r="P414" s="1519"/>
      <c r="Q414" s="1520"/>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1515"/>
      <c r="B416" s="1516"/>
      <c r="C416" s="1516"/>
      <c r="D416" s="1516"/>
      <c r="E416" s="1516"/>
      <c r="F416" s="1516"/>
      <c r="G416" s="1516"/>
      <c r="H416" s="1516"/>
      <c r="I416" s="1516"/>
      <c r="J416" s="1516"/>
      <c r="K416" s="1516"/>
      <c r="L416" s="1516"/>
      <c r="M416" s="1516"/>
      <c r="N416" s="1516"/>
      <c r="O416" s="1516"/>
      <c r="P416" s="1516"/>
      <c r="Q416" s="1517"/>
    </row>
    <row r="417" spans="1:31" ht="12" customHeight="1">
      <c r="A417" s="1547"/>
      <c r="B417" s="1548"/>
      <c r="C417" s="1548"/>
      <c r="D417" s="1548"/>
      <c r="E417" s="1548"/>
      <c r="F417" s="1548"/>
      <c r="G417" s="1548"/>
      <c r="H417" s="1548"/>
      <c r="I417" s="1548"/>
      <c r="J417" s="1548"/>
      <c r="K417" s="1548"/>
      <c r="L417" s="1548"/>
      <c r="M417" s="1548"/>
      <c r="N417" s="1548"/>
      <c r="O417" s="1548"/>
      <c r="P417" s="1548"/>
      <c r="Q417" s="1549"/>
    </row>
    <row r="418" spans="1:31" ht="12" customHeight="1">
      <c r="A418" s="1533"/>
      <c r="B418" s="1534"/>
      <c r="C418" s="1534"/>
      <c r="D418" s="1534"/>
      <c r="E418" s="1534"/>
      <c r="F418" s="1534"/>
      <c r="G418" s="1534"/>
      <c r="H418" s="1534"/>
      <c r="I418" s="1534"/>
      <c r="J418" s="1534"/>
      <c r="K418" s="1534"/>
      <c r="L418" s="1534"/>
      <c r="M418" s="1534"/>
      <c r="N418" s="1534"/>
      <c r="O418" s="1534"/>
      <c r="P418" s="1534"/>
      <c r="Q418" s="1535"/>
    </row>
    <row r="419" spans="1:31" ht="7.2" customHeight="1">
      <c r="A419" s="738"/>
      <c r="B419" s="179"/>
      <c r="C419" s="740"/>
      <c r="D419" s="740"/>
      <c r="E419" s="740"/>
      <c r="F419" s="740"/>
      <c r="G419" s="740"/>
      <c r="H419" s="740"/>
      <c r="I419" s="740"/>
      <c r="J419" s="740"/>
      <c r="K419" s="740"/>
      <c r="L419" s="740"/>
      <c r="M419" s="740"/>
      <c r="Q419" s="63"/>
    </row>
    <row r="420" spans="1:31" ht="13.95" customHeight="1">
      <c r="A420" s="742">
        <v>27</v>
      </c>
      <c r="B420" s="5" t="s">
        <v>3121</v>
      </c>
      <c r="C420" s="5"/>
      <c r="D420" s="118"/>
      <c r="E420" s="740"/>
      <c r="F420" s="740"/>
      <c r="G420" s="740"/>
      <c r="H420" s="740"/>
      <c r="O420" s="180" t="s">
        <v>2921</v>
      </c>
      <c r="P420" s="1521"/>
      <c r="Q420" s="1522"/>
    </row>
    <row r="421" spans="1:31" ht="13.2" customHeight="1">
      <c r="B421" s="57" t="s">
        <v>3058</v>
      </c>
      <c r="C421" s="49" t="s">
        <v>886</v>
      </c>
      <c r="D421" s="52"/>
      <c r="E421" s="52"/>
      <c r="F421" s="52"/>
      <c r="G421" s="52"/>
      <c r="H421" s="52"/>
      <c r="I421" s="52"/>
      <c r="J421" s="52"/>
      <c r="K421" s="52"/>
      <c r="L421" s="52"/>
      <c r="M421" s="52"/>
      <c r="O421" s="62" t="s">
        <v>3058</v>
      </c>
      <c r="P421" s="796" t="s">
        <v>3993</v>
      </c>
      <c r="Q421" s="234"/>
    </row>
    <row r="422" spans="1:31" ht="13.2" customHeight="1">
      <c r="B422" s="57" t="s">
        <v>3061</v>
      </c>
      <c r="C422" s="49" t="s">
        <v>887</v>
      </c>
      <c r="D422" s="52"/>
      <c r="E422" s="52"/>
      <c r="F422" s="52"/>
      <c r="G422" s="52"/>
      <c r="H422" s="52"/>
      <c r="I422" s="52"/>
      <c r="J422" s="52"/>
      <c r="K422" s="52"/>
      <c r="L422" s="52"/>
      <c r="M422" s="52"/>
      <c r="O422" s="62" t="s">
        <v>3061</v>
      </c>
      <c r="P422" s="796" t="s">
        <v>3993</v>
      </c>
      <c r="Q422" s="234"/>
    </row>
    <row r="423" spans="1:31" ht="24" customHeight="1">
      <c r="B423" s="192" t="s">
        <v>1237</v>
      </c>
      <c r="C423" s="1565" t="s">
        <v>888</v>
      </c>
      <c r="D423" s="1565"/>
      <c r="E423" s="1565"/>
      <c r="F423" s="1565"/>
      <c r="G423" s="1565"/>
      <c r="H423" s="1565"/>
      <c r="I423" s="1565"/>
      <c r="J423" s="1565"/>
      <c r="K423" s="1565"/>
      <c r="L423" s="1565"/>
      <c r="M423" s="1565"/>
      <c r="N423" s="1565"/>
      <c r="O423" s="221" t="s">
        <v>1237</v>
      </c>
      <c r="P423" s="812" t="s">
        <v>3993</v>
      </c>
      <c r="Q423" s="353"/>
    </row>
    <row r="424" spans="1:31" ht="11.25" customHeight="1">
      <c r="B424" s="191" t="s">
        <v>2919</v>
      </c>
      <c r="D424" s="191"/>
      <c r="E424" s="191"/>
      <c r="F424" s="191"/>
      <c r="G424" s="191"/>
      <c r="H424" s="50"/>
      <c r="I424" s="179"/>
      <c r="J424" s="179"/>
      <c r="K424" s="179"/>
      <c r="L424" s="738"/>
      <c r="M424" s="738"/>
      <c r="N424" s="738"/>
      <c r="O424" s="738"/>
      <c r="P424" s="738"/>
      <c r="Q424" s="63"/>
    </row>
    <row r="425" spans="1:31" ht="11.4" customHeight="1">
      <c r="A425" s="1524"/>
      <c r="B425" s="1525"/>
      <c r="C425" s="1525"/>
      <c r="D425" s="1525"/>
      <c r="E425" s="1525"/>
      <c r="F425" s="1525"/>
      <c r="G425" s="1525"/>
      <c r="H425" s="1525"/>
      <c r="I425" s="1525"/>
      <c r="J425" s="1525"/>
      <c r="K425" s="1525"/>
      <c r="L425" s="1525"/>
      <c r="M425" s="1525"/>
      <c r="N425" s="1525"/>
      <c r="O425" s="1525"/>
      <c r="P425" s="1525"/>
      <c r="Q425" s="1526"/>
      <c r="R425" s="1540" t="s">
        <v>1931</v>
      </c>
      <c r="S425" s="1540"/>
      <c r="U425" s="185"/>
      <c r="V425" s="185"/>
      <c r="W425" s="185"/>
      <c r="X425" s="185"/>
      <c r="Y425" s="185"/>
      <c r="Z425" s="185"/>
      <c r="AA425" s="185"/>
      <c r="AB425" s="185"/>
      <c r="AC425" s="185"/>
      <c r="AD425" s="185"/>
      <c r="AE425" s="186"/>
    </row>
    <row r="426" spans="1:31" ht="11.4" customHeight="1">
      <c r="A426" s="1544"/>
      <c r="B426" s="1545"/>
      <c r="C426" s="1545"/>
      <c r="D426" s="1545"/>
      <c r="E426" s="1545"/>
      <c r="F426" s="1545"/>
      <c r="G426" s="1545"/>
      <c r="H426" s="1545"/>
      <c r="I426" s="1545"/>
      <c r="J426" s="1545"/>
      <c r="K426" s="1545"/>
      <c r="L426" s="1545"/>
      <c r="M426" s="1545"/>
      <c r="N426" s="1545"/>
      <c r="O426" s="1545"/>
      <c r="P426" s="1545"/>
      <c r="Q426" s="1546"/>
      <c r="R426" s="1540"/>
      <c r="S426" s="1540"/>
    </row>
    <row r="427" spans="1:31" ht="11.4" customHeight="1">
      <c r="A427" s="1518"/>
      <c r="B427" s="1519"/>
      <c r="C427" s="1519"/>
      <c r="D427" s="1519"/>
      <c r="E427" s="1519"/>
      <c r="F427" s="1519"/>
      <c r="G427" s="1519"/>
      <c r="H427" s="1519"/>
      <c r="I427" s="1519"/>
      <c r="J427" s="1519"/>
      <c r="K427" s="1519"/>
      <c r="L427" s="1519"/>
      <c r="M427" s="1519"/>
      <c r="N427" s="1519"/>
      <c r="O427" s="1519"/>
      <c r="P427" s="1519"/>
      <c r="Q427" s="1520"/>
      <c r="R427" s="1540"/>
      <c r="S427" s="1540"/>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 customHeight="1">
      <c r="A429" s="1515"/>
      <c r="B429" s="1516"/>
      <c r="C429" s="1516"/>
      <c r="D429" s="1516"/>
      <c r="E429" s="1516"/>
      <c r="F429" s="1516"/>
      <c r="G429" s="1516"/>
      <c r="H429" s="1516"/>
      <c r="I429" s="1516"/>
      <c r="J429" s="1516"/>
      <c r="K429" s="1516"/>
      <c r="L429" s="1516"/>
      <c r="M429" s="1516"/>
      <c r="N429" s="1516"/>
      <c r="O429" s="1516"/>
      <c r="P429" s="1516"/>
      <c r="Q429" s="1517"/>
    </row>
    <row r="430" spans="1:31" ht="11.4" customHeight="1">
      <c r="A430" s="1547"/>
      <c r="B430" s="1548"/>
      <c r="C430" s="1548"/>
      <c r="D430" s="1548"/>
      <c r="E430" s="1548"/>
      <c r="F430" s="1548"/>
      <c r="G430" s="1548"/>
      <c r="H430" s="1548"/>
      <c r="I430" s="1548"/>
      <c r="J430" s="1548"/>
      <c r="K430" s="1548"/>
      <c r="L430" s="1548"/>
      <c r="M430" s="1548"/>
      <c r="N430" s="1548"/>
      <c r="O430" s="1548"/>
      <c r="P430" s="1548"/>
      <c r="Q430" s="1549"/>
    </row>
    <row r="431" spans="1:31" ht="11.4" customHeight="1">
      <c r="A431" s="1533"/>
      <c r="B431" s="1534"/>
      <c r="C431" s="1534"/>
      <c r="D431" s="1534"/>
      <c r="E431" s="1534"/>
      <c r="F431" s="1534"/>
      <c r="G431" s="1534"/>
      <c r="H431" s="1534"/>
      <c r="I431" s="1534"/>
      <c r="J431" s="1534"/>
      <c r="K431" s="1534"/>
      <c r="L431" s="1534"/>
      <c r="M431" s="1534"/>
      <c r="N431" s="1534"/>
      <c r="O431" s="1534"/>
      <c r="P431" s="1534"/>
      <c r="Q431" s="1535"/>
    </row>
    <row r="432" spans="1:31" ht="7.2" customHeight="1">
      <c r="A432" s="738"/>
      <c r="B432" s="179"/>
      <c r="C432" s="740"/>
      <c r="D432" s="740"/>
      <c r="E432" s="740"/>
      <c r="F432" s="740"/>
      <c r="G432" s="740"/>
      <c r="H432" s="740"/>
      <c r="I432" s="740"/>
      <c r="J432" s="740"/>
      <c r="K432" s="740"/>
      <c r="L432" s="740"/>
      <c r="M432" s="740"/>
      <c r="Q432" s="63"/>
    </row>
    <row r="433" spans="1:31" ht="13.95" customHeight="1">
      <c r="A433" s="742">
        <v>28</v>
      </c>
      <c r="B433" s="5" t="s">
        <v>1353</v>
      </c>
      <c r="C433" s="5"/>
      <c r="D433" s="118"/>
      <c r="E433" s="740"/>
      <c r="F433" s="740"/>
      <c r="G433" s="740"/>
      <c r="H433" s="740"/>
      <c r="I433" s="740"/>
      <c r="J433" s="740"/>
      <c r="K433" s="740"/>
      <c r="L433" s="740"/>
      <c r="M433" s="740"/>
      <c r="O433" s="180" t="s">
        <v>2921</v>
      </c>
      <c r="P433" s="1521"/>
      <c r="Q433" s="1522"/>
    </row>
    <row r="434" spans="1:31" ht="11.25" customHeight="1">
      <c r="A434" s="742"/>
      <c r="B434" s="191" t="s">
        <v>2919</v>
      </c>
      <c r="D434" s="191"/>
      <c r="E434" s="191"/>
      <c r="F434" s="191"/>
      <c r="G434" s="191"/>
      <c r="H434" s="50"/>
      <c r="I434" s="179"/>
      <c r="J434" s="179"/>
      <c r="K434" s="179"/>
      <c r="L434" s="738"/>
      <c r="M434" s="738"/>
      <c r="N434" s="738"/>
      <c r="O434" s="738"/>
      <c r="P434" s="738"/>
      <c r="Q434" s="63"/>
    </row>
    <row r="435" spans="1:31" ht="11.4" customHeight="1">
      <c r="A435" s="1524"/>
      <c r="B435" s="1525"/>
      <c r="C435" s="1525"/>
      <c r="D435" s="1525"/>
      <c r="E435" s="1525"/>
      <c r="F435" s="1525"/>
      <c r="G435" s="1525"/>
      <c r="H435" s="1525"/>
      <c r="I435" s="1525"/>
      <c r="J435" s="1525"/>
      <c r="K435" s="1525"/>
      <c r="L435" s="1525"/>
      <c r="M435" s="1525"/>
      <c r="N435" s="1525"/>
      <c r="O435" s="1525"/>
      <c r="P435" s="1525"/>
      <c r="Q435" s="1526"/>
      <c r="R435" s="1540" t="s">
        <v>1931</v>
      </c>
      <c r="S435" s="1540"/>
      <c r="U435" s="185"/>
      <c r="V435" s="185"/>
      <c r="W435" s="185"/>
      <c r="X435" s="185"/>
      <c r="Y435" s="185"/>
      <c r="Z435" s="185"/>
      <c r="AA435" s="185"/>
      <c r="AB435" s="185"/>
      <c r="AC435" s="185"/>
      <c r="AD435" s="185"/>
      <c r="AE435" s="186"/>
    </row>
    <row r="436" spans="1:31" ht="11.4" customHeight="1">
      <c r="A436" s="1518"/>
      <c r="B436" s="1519"/>
      <c r="C436" s="1519"/>
      <c r="D436" s="1519"/>
      <c r="E436" s="1519"/>
      <c r="F436" s="1519"/>
      <c r="G436" s="1519"/>
      <c r="H436" s="1519"/>
      <c r="I436" s="1519"/>
      <c r="J436" s="1519"/>
      <c r="K436" s="1519"/>
      <c r="L436" s="1519"/>
      <c r="M436" s="1519"/>
      <c r="N436" s="1519"/>
      <c r="O436" s="1519"/>
      <c r="P436" s="1519"/>
      <c r="Q436" s="1520"/>
      <c r="R436" s="1540"/>
      <c r="S436" s="1540"/>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200000000000003" customHeight="1">
      <c r="A438" s="1515"/>
      <c r="B438" s="1516"/>
      <c r="C438" s="1516"/>
      <c r="D438" s="1516"/>
      <c r="E438" s="1516"/>
      <c r="F438" s="1516"/>
      <c r="G438" s="1516"/>
      <c r="H438" s="1516"/>
      <c r="I438" s="1516"/>
      <c r="J438" s="1516"/>
      <c r="K438" s="1516"/>
      <c r="L438" s="1516"/>
      <c r="M438" s="1516"/>
      <c r="N438" s="1516"/>
      <c r="O438" s="1516"/>
      <c r="P438" s="1516"/>
      <c r="Q438" s="1517"/>
    </row>
    <row r="439" spans="1:31" ht="37.200000000000003" customHeight="1">
      <c r="A439" s="1547"/>
      <c r="B439" s="1548"/>
      <c r="C439" s="1548"/>
      <c r="D439" s="1548"/>
      <c r="E439" s="1548"/>
      <c r="F439" s="1548"/>
      <c r="G439" s="1548"/>
      <c r="H439" s="1548"/>
      <c r="I439" s="1548"/>
      <c r="J439" s="1548"/>
      <c r="K439" s="1548"/>
      <c r="L439" s="1548"/>
      <c r="M439" s="1548"/>
      <c r="N439" s="1548"/>
      <c r="O439" s="1548"/>
      <c r="P439" s="1548"/>
      <c r="Q439" s="1549"/>
    </row>
    <row r="440" spans="1:31" ht="37.200000000000003" customHeight="1">
      <c r="A440" s="1547"/>
      <c r="B440" s="1548"/>
      <c r="C440" s="1548"/>
      <c r="D440" s="1548"/>
      <c r="E440" s="1548"/>
      <c r="F440" s="1548"/>
      <c r="G440" s="1548"/>
      <c r="H440" s="1548"/>
      <c r="I440" s="1548"/>
      <c r="J440" s="1548"/>
      <c r="K440" s="1548"/>
      <c r="L440" s="1548"/>
      <c r="M440" s="1548"/>
      <c r="N440" s="1548"/>
      <c r="O440" s="1548"/>
      <c r="P440" s="1548"/>
      <c r="Q440" s="1549"/>
    </row>
    <row r="441" spans="1:31" ht="37.200000000000003" customHeight="1">
      <c r="A441" s="1533"/>
      <c r="B441" s="1534"/>
      <c r="C441" s="1534"/>
      <c r="D441" s="1534"/>
      <c r="E441" s="1534"/>
      <c r="F441" s="1534"/>
      <c r="G441" s="1534"/>
      <c r="H441" s="1534"/>
      <c r="I441" s="1534"/>
      <c r="J441" s="1534"/>
      <c r="K441" s="1534"/>
      <c r="L441" s="1534"/>
      <c r="M441" s="1534"/>
      <c r="N441" s="1534"/>
      <c r="O441" s="1534"/>
      <c r="P441" s="1534"/>
      <c r="Q441" s="1535"/>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817"/>
      <c r="B445" s="817" t="s">
        <v>1237</v>
      </c>
      <c r="C445" s="817" t="s">
        <v>794</v>
      </c>
      <c r="D445" s="817"/>
      <c r="E445" s="817"/>
      <c r="F445" s="817"/>
      <c r="G445" s="817"/>
      <c r="H445" s="817"/>
      <c r="I445" s="817"/>
      <c r="J445" s="817"/>
      <c r="K445" s="817"/>
      <c r="L445" s="817"/>
      <c r="M445" s="817"/>
      <c r="N445" s="817"/>
      <c r="O445" s="817" t="s">
        <v>1237</v>
      </c>
      <c r="P445" s="817"/>
      <c r="Q445" s="817"/>
    </row>
    <row r="446" spans="1:31" ht="12" customHeight="1">
      <c r="A446" s="817"/>
      <c r="B446" s="817"/>
      <c r="C446" s="817" t="s">
        <v>2763</v>
      </c>
      <c r="D446" s="817" t="s">
        <v>882</v>
      </c>
      <c r="E446" s="817"/>
      <c r="F446" s="817"/>
      <c r="G446" s="817"/>
      <c r="H446" s="817"/>
      <c r="I446" s="817"/>
      <c r="J446" s="817"/>
      <c r="K446" s="817"/>
      <c r="L446" s="817"/>
      <c r="M446" s="817"/>
      <c r="N446" s="817"/>
      <c r="O446" s="817" t="s">
        <v>2763</v>
      </c>
      <c r="P446" s="817"/>
      <c r="Q446" s="817"/>
    </row>
    <row r="447" spans="1:31" ht="12" customHeight="1">
      <c r="A447" s="817"/>
      <c r="B447" s="817"/>
      <c r="C447" s="817" t="s">
        <v>2764</v>
      </c>
      <c r="D447" s="817" t="s">
        <v>0</v>
      </c>
      <c r="E447" s="817"/>
      <c r="F447" s="817"/>
      <c r="G447" s="817"/>
      <c r="H447" s="817"/>
      <c r="I447" s="817"/>
      <c r="J447" s="817"/>
      <c r="K447" s="817"/>
      <c r="L447" s="817"/>
      <c r="M447" s="817"/>
      <c r="N447" s="817"/>
      <c r="O447" s="817" t="s">
        <v>2764</v>
      </c>
      <c r="P447" s="817"/>
      <c r="Q447" s="817"/>
    </row>
    <row r="448" spans="1:31" ht="12" customHeight="1">
      <c r="A448" s="817"/>
      <c r="B448" s="817"/>
      <c r="C448" s="817" t="s">
        <v>2765</v>
      </c>
      <c r="D448" s="817" t="s">
        <v>795</v>
      </c>
      <c r="E448" s="817"/>
      <c r="F448" s="817"/>
      <c r="G448" s="817"/>
      <c r="H448" s="817"/>
      <c r="I448" s="817"/>
      <c r="J448" s="817"/>
      <c r="K448" s="817"/>
      <c r="L448" s="817"/>
      <c r="M448" s="817"/>
      <c r="N448" s="817"/>
      <c r="O448" s="817" t="s">
        <v>2765</v>
      </c>
      <c r="P448" s="817"/>
      <c r="Q448" s="817"/>
    </row>
    <row r="449" spans="1:19" ht="12" customHeight="1">
      <c r="A449" s="817"/>
      <c r="B449" s="817"/>
      <c r="C449" s="817" t="s">
        <v>3569</v>
      </c>
      <c r="D449" s="817" t="s">
        <v>796</v>
      </c>
      <c r="E449" s="817"/>
      <c r="F449" s="817"/>
      <c r="G449" s="817"/>
      <c r="H449" s="817"/>
      <c r="I449" s="817"/>
      <c r="J449" s="817"/>
      <c r="K449" s="817"/>
      <c r="L449" s="817"/>
      <c r="M449" s="817"/>
      <c r="N449" s="817"/>
      <c r="O449" s="817" t="s">
        <v>3569</v>
      </c>
      <c r="P449" s="817"/>
      <c r="Q449" s="817"/>
    </row>
    <row r="450" spans="1:19" ht="12" customHeight="1">
      <c r="A450" s="817"/>
      <c r="B450" s="817"/>
      <c r="C450" s="817" t="s">
        <v>2302</v>
      </c>
      <c r="D450" s="817" t="s">
        <v>797</v>
      </c>
      <c r="E450" s="817"/>
      <c r="F450" s="817"/>
      <c r="G450" s="817"/>
      <c r="H450" s="817"/>
      <c r="I450" s="817"/>
      <c r="J450" s="817"/>
      <c r="K450" s="817"/>
      <c r="L450" s="817"/>
      <c r="M450" s="817"/>
      <c r="N450" s="817"/>
      <c r="O450" s="817" t="s">
        <v>2302</v>
      </c>
      <c r="P450" s="817"/>
      <c r="Q450" s="817"/>
    </row>
    <row r="451" spans="1:19" ht="12" customHeight="1">
      <c r="A451" s="817"/>
      <c r="B451" s="817"/>
      <c r="C451" s="817" t="s">
        <v>2303</v>
      </c>
      <c r="D451" s="817" t="s">
        <v>2355</v>
      </c>
      <c r="E451" s="817"/>
      <c r="F451" s="817"/>
      <c r="G451" s="817"/>
      <c r="H451" s="817"/>
      <c r="I451" s="817"/>
      <c r="J451" s="817"/>
      <c r="K451" s="817"/>
      <c r="L451" s="817"/>
      <c r="M451" s="817"/>
      <c r="N451" s="817"/>
      <c r="O451" s="817" t="s">
        <v>2303</v>
      </c>
      <c r="P451" s="817"/>
      <c r="Q451" s="817"/>
    </row>
    <row r="452" spans="1:19" ht="12" customHeight="1">
      <c r="A452" s="817"/>
      <c r="B452" s="817"/>
      <c r="C452" s="817" t="s">
        <v>112</v>
      </c>
      <c r="D452" s="817" t="s">
        <v>798</v>
      </c>
      <c r="E452" s="817"/>
      <c r="F452" s="817"/>
      <c r="G452" s="817"/>
      <c r="H452" s="817"/>
      <c r="I452" s="817"/>
      <c r="J452" s="817"/>
      <c r="K452" s="817"/>
      <c r="L452" s="817"/>
      <c r="M452" s="817"/>
      <c r="N452" s="817"/>
      <c r="O452" s="817" t="s">
        <v>112</v>
      </c>
      <c r="P452" s="817"/>
      <c r="Q452" s="817"/>
    </row>
    <row r="453" spans="1:19" ht="12" customHeight="1">
      <c r="A453" s="817"/>
      <c r="B453" s="817"/>
      <c r="C453" s="817" t="s">
        <v>788</v>
      </c>
      <c r="D453" s="817" t="s">
        <v>799</v>
      </c>
      <c r="E453" s="817"/>
      <c r="F453" s="817"/>
      <c r="G453" s="817"/>
      <c r="H453" s="817"/>
      <c r="I453" s="817"/>
      <c r="J453" s="817"/>
      <c r="K453" s="817"/>
      <c r="L453" s="817"/>
      <c r="M453" s="817"/>
      <c r="N453" s="817"/>
      <c r="O453" s="817" t="s">
        <v>788</v>
      </c>
      <c r="P453" s="817"/>
      <c r="Q453" s="817"/>
    </row>
    <row r="454" spans="1:19" ht="12" customHeight="1">
      <c r="A454" s="817"/>
      <c r="B454" s="817"/>
      <c r="C454" s="817" t="s">
        <v>789</v>
      </c>
      <c r="D454" s="817" t="s">
        <v>2647</v>
      </c>
      <c r="E454" s="817"/>
      <c r="F454" s="817"/>
      <c r="G454" s="817"/>
      <c r="H454" s="817"/>
      <c r="I454" s="817"/>
      <c r="J454" s="817"/>
      <c r="K454" s="817"/>
      <c r="L454" s="817"/>
      <c r="M454" s="817"/>
      <c r="N454" s="817"/>
      <c r="O454" s="817" t="s">
        <v>789</v>
      </c>
      <c r="P454" s="817"/>
      <c r="Q454" s="817"/>
    </row>
    <row r="455" spans="1:19" ht="12" customHeight="1">
      <c r="A455" s="817"/>
      <c r="B455" s="817"/>
      <c r="C455" s="817" t="s">
        <v>790</v>
      </c>
      <c r="D455" s="817" t="s">
        <v>2971</v>
      </c>
      <c r="E455" s="817"/>
      <c r="F455" s="817"/>
      <c r="G455" s="817"/>
      <c r="H455" s="817"/>
      <c r="I455" s="817"/>
      <c r="J455" s="817"/>
      <c r="K455" s="817"/>
      <c r="L455" s="817"/>
      <c r="M455" s="817"/>
      <c r="N455" s="817"/>
      <c r="O455" s="817" t="s">
        <v>2973</v>
      </c>
      <c r="P455" s="817"/>
      <c r="Q455" s="817"/>
    </row>
    <row r="456" spans="1:19" ht="12" customHeight="1">
      <c r="A456" s="817"/>
      <c r="B456" s="817"/>
      <c r="C456" s="817" t="s">
        <v>790</v>
      </c>
      <c r="D456" s="817" t="s">
        <v>2972</v>
      </c>
      <c r="E456" s="817"/>
      <c r="F456" s="817"/>
      <c r="G456" s="817"/>
      <c r="H456" s="817"/>
      <c r="I456" s="817"/>
      <c r="J456" s="817"/>
      <c r="K456" s="817"/>
      <c r="L456" s="817"/>
      <c r="M456" s="817"/>
      <c r="N456" s="817"/>
      <c r="O456" s="817"/>
      <c r="P456" s="817"/>
      <c r="Q456" s="817"/>
    </row>
    <row r="457" spans="1:19" ht="12" customHeight="1">
      <c r="A457" s="817"/>
      <c r="B457" s="817"/>
      <c r="C457" s="817" t="s">
        <v>791</v>
      </c>
      <c r="D457" s="817" t="s">
        <v>2974</v>
      </c>
      <c r="E457" s="817"/>
      <c r="F457" s="817"/>
      <c r="G457" s="817"/>
      <c r="H457" s="817"/>
      <c r="I457" s="817"/>
      <c r="J457" s="817"/>
      <c r="K457" s="817"/>
      <c r="L457" s="817"/>
      <c r="M457" s="817"/>
      <c r="N457" s="817"/>
      <c r="O457" s="817" t="s">
        <v>791</v>
      </c>
      <c r="P457" s="817"/>
      <c r="Q457" s="817"/>
    </row>
    <row r="458" spans="1:19" ht="12" customHeight="1">
      <c r="A458" s="817"/>
      <c r="B458" s="817"/>
      <c r="C458" s="817" t="s">
        <v>792</v>
      </c>
      <c r="D458" s="817" t="s">
        <v>2975</v>
      </c>
      <c r="E458" s="817"/>
      <c r="F458" s="817"/>
      <c r="G458" s="817"/>
      <c r="H458" s="817"/>
      <c r="I458" s="817"/>
      <c r="J458" s="817"/>
      <c r="K458" s="817"/>
      <c r="L458" s="817"/>
      <c r="M458" s="817"/>
      <c r="N458" s="817"/>
      <c r="O458" s="817" t="s">
        <v>792</v>
      </c>
      <c r="P458" s="817"/>
      <c r="Q458" s="817"/>
    </row>
    <row r="459" spans="1:19" ht="12" customHeight="1">
      <c r="A459" s="817"/>
      <c r="B459" s="817"/>
      <c r="C459" s="817" t="s">
        <v>793</v>
      </c>
      <c r="D459" s="817" t="s">
        <v>2976</v>
      </c>
      <c r="E459" s="817"/>
      <c r="F459" s="817"/>
      <c r="G459" s="817"/>
      <c r="H459" s="817" t="s">
        <v>2799</v>
      </c>
      <c r="I459" s="817"/>
      <c r="J459" s="817"/>
      <c r="K459" s="817"/>
      <c r="L459" s="817"/>
      <c r="M459" s="817"/>
      <c r="N459" s="817"/>
      <c r="O459" s="817" t="s">
        <v>793</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2799</v>
      </c>
      <c r="K463" s="166"/>
      <c r="L463" s="166"/>
      <c r="M463" s="166"/>
      <c r="N463" s="364"/>
      <c r="O463" s="363"/>
      <c r="P463" s="363"/>
      <c r="Q463" s="218"/>
      <c r="R463" s="218"/>
      <c r="S463" s="218"/>
    </row>
    <row r="464" spans="1:19" s="31" customFormat="1" ht="13.8">
      <c r="A464" s="218"/>
      <c r="B464" s="166"/>
      <c r="C464" s="113" t="s">
        <v>3841</v>
      </c>
      <c r="D464" s="113"/>
      <c r="E464" s="113"/>
      <c r="F464" s="113"/>
      <c r="G464" s="113"/>
      <c r="H464" s="113"/>
      <c r="I464" s="113"/>
      <c r="J464" s="358" t="s">
        <v>2749</v>
      </c>
      <c r="K464" s="209"/>
      <c r="L464" s="166"/>
      <c r="M464" s="166"/>
      <c r="N464" s="364"/>
      <c r="O464" s="363"/>
      <c r="P464" s="363"/>
      <c r="Q464" s="218"/>
      <c r="R464" s="218"/>
      <c r="S464" s="218"/>
    </row>
    <row r="465" spans="1:19" s="31" customFormat="1" ht="13.8">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3.8">
      <c r="A466" s="218"/>
      <c r="B466" s="166"/>
      <c r="C466" s="113" t="s">
        <v>3185</v>
      </c>
      <c r="D466" s="113"/>
      <c r="E466" s="113"/>
      <c r="F466" s="113"/>
      <c r="G466" s="113"/>
      <c r="H466" s="113"/>
      <c r="I466" s="113"/>
      <c r="J466" s="362" t="s">
        <v>1830</v>
      </c>
      <c r="K466" s="209"/>
      <c r="L466" s="166"/>
      <c r="M466" s="166"/>
      <c r="N466" s="364"/>
      <c r="O466" s="363"/>
      <c r="P466" s="363"/>
      <c r="Q466" s="218"/>
      <c r="R466" s="218"/>
      <c r="S466" s="218"/>
    </row>
    <row r="467" spans="1:19" s="31" customFormat="1" ht="13.8">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3.8">
      <c r="A468" s="218"/>
      <c r="B468" s="166"/>
      <c r="C468" s="359" t="s">
        <v>3187</v>
      </c>
      <c r="D468" s="113"/>
      <c r="E468" s="113"/>
      <c r="F468" s="113"/>
      <c r="G468" s="113"/>
      <c r="H468" s="113"/>
      <c r="I468" s="113"/>
      <c r="J468" s="358" t="s">
        <v>2645</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3.8">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3.8">
      <c r="A471" s="218"/>
      <c r="B471" s="166"/>
      <c r="C471" s="360" t="s">
        <v>2097</v>
      </c>
      <c r="D471" s="113"/>
      <c r="E471" s="113"/>
      <c r="F471" s="113"/>
      <c r="G471" s="113"/>
      <c r="H471" s="113"/>
      <c r="I471" s="113"/>
      <c r="J471" s="358" t="s">
        <v>3199</v>
      </c>
      <c r="K471" s="209"/>
      <c r="L471" s="166"/>
      <c r="M471" s="166"/>
      <c r="N471" s="364"/>
      <c r="O471" s="363"/>
      <c r="P471" s="363"/>
      <c r="Q471" s="218"/>
      <c r="R471" s="218"/>
      <c r="S471" s="218"/>
    </row>
    <row r="472" spans="1:19" s="31" customFormat="1" ht="13.8">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3.8">
      <c r="A473" s="218"/>
      <c r="B473" s="166"/>
      <c r="C473" s="361" t="s">
        <v>3228</v>
      </c>
      <c r="D473" s="113"/>
      <c r="E473" s="113"/>
      <c r="F473" s="113"/>
      <c r="G473" s="113"/>
      <c r="H473" s="113"/>
      <c r="I473" s="113"/>
      <c r="J473" s="358" t="s">
        <v>1839</v>
      </c>
      <c r="K473" s="209"/>
      <c r="L473" s="166"/>
      <c r="M473" s="166"/>
      <c r="N473" s="364"/>
      <c r="O473" s="363"/>
      <c r="P473" s="363"/>
      <c r="Q473" s="218"/>
      <c r="R473" s="218"/>
      <c r="S473" s="218"/>
    </row>
    <row r="474" spans="1:19" s="31" customFormat="1" ht="13.8">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3.8">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3.8">
      <c r="A476" s="218"/>
      <c r="B476" s="166"/>
      <c r="C476" s="360" t="s">
        <v>3223</v>
      </c>
      <c r="D476" s="113"/>
      <c r="E476" s="113"/>
      <c r="F476" s="113"/>
      <c r="G476" s="113"/>
      <c r="H476" s="113"/>
      <c r="I476" s="113"/>
      <c r="J476" s="358" t="s">
        <v>1832</v>
      </c>
      <c r="K476" s="209"/>
      <c r="L476" s="166"/>
      <c r="M476" s="166"/>
      <c r="N476" s="364"/>
      <c r="O476" s="363"/>
      <c r="P476" s="363"/>
      <c r="Q476" s="218"/>
      <c r="R476" s="218"/>
      <c r="S476" s="218"/>
    </row>
    <row r="477" spans="1:19" s="31" customFormat="1" ht="13.8">
      <c r="A477" s="218"/>
      <c r="B477" s="166"/>
      <c r="C477" s="360" t="s">
        <v>3224</v>
      </c>
      <c r="D477" s="113"/>
      <c r="E477" s="113"/>
      <c r="F477" s="113"/>
      <c r="G477" s="113"/>
      <c r="H477" s="113"/>
      <c r="I477" s="113"/>
      <c r="J477" s="358" t="s">
        <v>1831</v>
      </c>
      <c r="K477" s="166"/>
      <c r="L477" s="166"/>
      <c r="M477" s="166"/>
      <c r="N477" s="364"/>
      <c r="O477" s="363"/>
      <c r="P477" s="363"/>
      <c r="Q477" s="218"/>
      <c r="R477" s="218"/>
      <c r="S477" s="218"/>
    </row>
    <row r="478" spans="1:19" s="31" customFormat="1" ht="13.8">
      <c r="A478" s="218"/>
      <c r="B478" s="166"/>
      <c r="C478" s="360" t="s">
        <v>3225</v>
      </c>
      <c r="D478" s="166"/>
      <c r="E478" s="166"/>
      <c r="F478" s="166"/>
      <c r="G478" s="166"/>
      <c r="H478" s="166"/>
      <c r="I478" s="166"/>
      <c r="J478" s="358" t="s">
        <v>2750</v>
      </c>
      <c r="K478" s="166"/>
      <c r="L478" s="166"/>
      <c r="M478" s="166"/>
      <c r="N478" s="364"/>
      <c r="O478" s="363"/>
      <c r="P478" s="363"/>
      <c r="Q478" s="218"/>
      <c r="R478" s="218"/>
      <c r="S478" s="218"/>
    </row>
    <row r="479" spans="1:19" s="31" customFormat="1" ht="13.8">
      <c r="A479" s="218"/>
      <c r="B479" s="166"/>
      <c r="C479" s="360" t="s">
        <v>3226</v>
      </c>
      <c r="D479" s="166"/>
      <c r="E479" s="166"/>
      <c r="F479" s="166"/>
      <c r="G479" s="166"/>
      <c r="H479" s="166"/>
      <c r="I479" s="166"/>
      <c r="J479" s="358" t="s">
        <v>2644</v>
      </c>
      <c r="K479" s="166"/>
      <c r="L479" s="166"/>
      <c r="M479" s="166"/>
      <c r="N479" s="364"/>
      <c r="O479" s="363"/>
      <c r="P479" s="363"/>
      <c r="Q479" s="218"/>
      <c r="R479" s="218"/>
      <c r="S479" s="218"/>
    </row>
    <row r="480" spans="1:19" s="31" customFormat="1" ht="13.8">
      <c r="A480" s="218"/>
      <c r="B480" s="166"/>
      <c r="C480" s="360" t="s">
        <v>3227</v>
      </c>
      <c r="D480" s="166"/>
      <c r="E480" s="166"/>
      <c r="F480" s="166"/>
      <c r="G480" s="166"/>
      <c r="H480" s="166"/>
      <c r="I480" s="166"/>
      <c r="J480" s="358" t="s">
        <v>2636</v>
      </c>
      <c r="K480" s="166"/>
      <c r="L480" s="166"/>
      <c r="M480" s="166"/>
      <c r="N480" s="364"/>
      <c r="O480" s="363"/>
      <c r="P480" s="363"/>
      <c r="Q480" s="218"/>
      <c r="R480" s="218"/>
      <c r="S480" s="218"/>
    </row>
    <row r="481" spans="1:19" s="31" customFormat="1" ht="13.8">
      <c r="A481" s="218"/>
      <c r="B481" s="166"/>
      <c r="C481" s="360" t="s">
        <v>2096</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C20" sheet="1" objects="1" scenarios="1" formatCells="0"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100" workbookViewId="0">
      <selection activeCell="A14" sqref="A14:P14"/>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328" t="str">
        <f>CONCATENATE("PART NINE - SCORING CRITERIA","  -  ",'Part I-Project Information'!$O$4," ",'Part I-Project Information'!$F$22,", ",'Part I-Project Information'!F24,", ",'Part I-Project Information'!J25," County")</f>
        <v>PART NINE - SCORING CRITERIA  -  2011-003 Pecan Point Apartments, Cochran, Bleckley County</v>
      </c>
      <c r="B1" s="1329"/>
      <c r="C1" s="1329"/>
      <c r="D1" s="1329"/>
      <c r="E1" s="1329"/>
      <c r="F1" s="1329"/>
      <c r="G1" s="1329"/>
      <c r="H1" s="1329"/>
      <c r="I1" s="1329"/>
      <c r="J1" s="1329"/>
      <c r="K1" s="1329"/>
      <c r="L1" s="1329"/>
      <c r="M1" s="1329"/>
      <c r="N1" s="1329"/>
      <c r="O1" s="1329"/>
      <c r="P1" s="1330"/>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61</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11" t="s">
        <v>3893</v>
      </c>
      <c r="G10" s="40">
        <f>F17</f>
        <v>0</v>
      </c>
      <c r="H10" s="246" t="s">
        <v>321</v>
      </c>
      <c r="M10" s="7">
        <v>7</v>
      </c>
      <c r="N10" s="82" t="s">
        <v>3058</v>
      </c>
      <c r="O10" s="793"/>
      <c r="P10" s="69"/>
    </row>
    <row r="11" spans="1:19" s="52" customFormat="1" ht="11.25" customHeight="1">
      <c r="A11" s="257" t="s">
        <v>3061</v>
      </c>
      <c r="B11" s="238" t="s">
        <v>1214</v>
      </c>
      <c r="D11" s="58"/>
      <c r="E11" s="58"/>
      <c r="F11" s="711" t="s">
        <v>3893</v>
      </c>
      <c r="G11" s="40">
        <f>K17</f>
        <v>0</v>
      </c>
      <c r="H11" s="246" t="s">
        <v>322</v>
      </c>
      <c r="J11" s="59"/>
      <c r="M11" s="7">
        <v>0</v>
      </c>
      <c r="N11" s="82" t="s">
        <v>3061</v>
      </c>
      <c r="O11" s="793"/>
      <c r="P11" s="69"/>
      <c r="Q11" s="146"/>
    </row>
    <row r="12" spans="1:19" s="53" customFormat="1" ht="11.25" customHeight="1">
      <c r="A12" s="257" t="s">
        <v>1237</v>
      </c>
      <c r="B12" s="238" t="s">
        <v>3208</v>
      </c>
      <c r="D12" s="58"/>
      <c r="E12" s="58"/>
      <c r="F12" s="711" t="s">
        <v>3893</v>
      </c>
      <c r="G12" s="40">
        <f>P17</f>
        <v>0</v>
      </c>
      <c r="H12" s="246" t="s">
        <v>323</v>
      </c>
      <c r="J12" s="59"/>
      <c r="M12" s="7">
        <v>1</v>
      </c>
      <c r="N12" s="82" t="s">
        <v>1237</v>
      </c>
      <c r="O12" s="793"/>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524"/>
      <c r="B14" s="1525"/>
      <c r="C14" s="1525"/>
      <c r="D14" s="1525"/>
      <c r="E14" s="1525"/>
      <c r="F14" s="1525"/>
      <c r="G14" s="1525"/>
      <c r="H14" s="1525"/>
      <c r="I14" s="1525"/>
      <c r="J14" s="1525"/>
      <c r="K14" s="1525"/>
      <c r="L14" s="1525"/>
      <c r="M14" s="1525"/>
      <c r="N14" s="1525"/>
      <c r="O14" s="1525"/>
      <c r="P14" s="1526"/>
      <c r="Q14" s="1540" t="s">
        <v>1931</v>
      </c>
      <c r="R14" s="1540"/>
    </row>
    <row r="15" spans="1:19" s="52" customFormat="1" ht="12.6" customHeight="1">
      <c r="A15" s="1518"/>
      <c r="B15" s="1519"/>
      <c r="C15" s="1519"/>
      <c r="D15" s="1519"/>
      <c r="E15" s="1519"/>
      <c r="F15" s="1519"/>
      <c r="G15" s="1519"/>
      <c r="H15" s="1519"/>
      <c r="I15" s="1519"/>
      <c r="J15" s="1519"/>
      <c r="K15" s="1519"/>
      <c r="L15" s="1519"/>
      <c r="M15" s="1519"/>
      <c r="N15" s="1519"/>
      <c r="O15" s="1519"/>
      <c r="P15" s="1520"/>
      <c r="Q15" s="1540"/>
      <c r="R15" s="1540"/>
      <c r="S15" s="217"/>
    </row>
    <row r="16" spans="1:19" s="52" customFormat="1" ht="10.95" customHeight="1">
      <c r="A16" s="260" t="s">
        <v>2920</v>
      </c>
      <c r="C16" s="129"/>
      <c r="D16" s="129"/>
      <c r="F16" s="179" t="s">
        <v>2738</v>
      </c>
      <c r="K16" s="179" t="s">
        <v>2738</v>
      </c>
      <c r="P16" s="62" t="s">
        <v>2738</v>
      </c>
      <c r="R16" s="217"/>
      <c r="S16" s="217"/>
    </row>
    <row r="17" spans="1:19" s="52" customFormat="1" ht="12" customHeight="1">
      <c r="A17" s="1655" t="s">
        <v>3637</v>
      </c>
      <c r="B17" s="1655"/>
      <c r="C17" s="1655"/>
      <c r="D17" s="1655"/>
      <c r="E17" s="83" t="s">
        <v>784</v>
      </c>
      <c r="F17" s="96">
        <f>SUM(F18:F29)</f>
        <v>0</v>
      </c>
      <c r="G17" s="1656" t="s">
        <v>3638</v>
      </c>
      <c r="H17" s="1655"/>
      <c r="I17" s="1655"/>
      <c r="J17" s="83" t="s">
        <v>784</v>
      </c>
      <c r="K17" s="96">
        <f>SUM(K18:K29)</f>
        <v>0</v>
      </c>
      <c r="L17" s="745" t="s">
        <v>2246</v>
      </c>
      <c r="M17" s="129"/>
      <c r="N17" s="127"/>
      <c r="O17" s="83"/>
      <c r="P17" s="96">
        <f>SUM(P18:P29)</f>
        <v>0</v>
      </c>
      <c r="R17" s="217"/>
      <c r="S17" s="217"/>
    </row>
    <row r="18" spans="1:19" s="52" customFormat="1" ht="24.6" customHeight="1">
      <c r="A18" s="1652">
        <v>1</v>
      </c>
      <c r="B18" s="1653"/>
      <c r="C18" s="1653"/>
      <c r="D18" s="1653"/>
      <c r="E18" s="1654"/>
      <c r="F18" s="308"/>
      <c r="G18" s="1647">
        <v>1</v>
      </c>
      <c r="H18" s="1648"/>
      <c r="I18" s="1648"/>
      <c r="J18" s="1648"/>
      <c r="K18" s="308"/>
      <c r="L18" s="1647">
        <v>1</v>
      </c>
      <c r="M18" s="1648"/>
      <c r="N18" s="1648"/>
      <c r="O18" s="1648"/>
      <c r="P18" s="308"/>
      <c r="Q18" s="1540" t="s">
        <v>1931</v>
      </c>
      <c r="R18" s="1540"/>
      <c r="S18" s="217"/>
    </row>
    <row r="19" spans="1:19" s="52" customFormat="1" ht="24.6" customHeight="1">
      <c r="A19" s="1632">
        <v>2</v>
      </c>
      <c r="B19" s="1633"/>
      <c r="C19" s="1633"/>
      <c r="D19" s="1633"/>
      <c r="E19" s="1634"/>
      <c r="F19" s="309"/>
      <c r="G19" s="1630">
        <v>2</v>
      </c>
      <c r="H19" s="1631"/>
      <c r="I19" s="1631"/>
      <c r="J19" s="1631"/>
      <c r="K19" s="309"/>
      <c r="L19" s="1630">
        <v>2</v>
      </c>
      <c r="M19" s="1631"/>
      <c r="N19" s="1631"/>
      <c r="O19" s="1631"/>
      <c r="P19" s="309"/>
      <c r="Q19" s="1540"/>
      <c r="R19" s="1540"/>
      <c r="S19" s="217"/>
    </row>
    <row r="20" spans="1:19" s="52" customFormat="1" ht="24.6" customHeight="1">
      <c r="A20" s="1632">
        <v>3</v>
      </c>
      <c r="B20" s="1633"/>
      <c r="C20" s="1633"/>
      <c r="D20" s="1633"/>
      <c r="E20" s="1634"/>
      <c r="F20" s="309"/>
      <c r="G20" s="1630">
        <v>3</v>
      </c>
      <c r="H20" s="1631"/>
      <c r="I20" s="1631"/>
      <c r="J20" s="1631"/>
      <c r="K20" s="309"/>
      <c r="L20" s="1630">
        <v>3</v>
      </c>
      <c r="M20" s="1631"/>
      <c r="N20" s="1631"/>
      <c r="O20" s="1631"/>
      <c r="P20" s="309"/>
      <c r="Q20" s="1540"/>
      <c r="R20" s="1540"/>
      <c r="S20" s="217"/>
    </row>
    <row r="21" spans="1:19" s="52" customFormat="1" ht="24.6" customHeight="1">
      <c r="A21" s="1632">
        <v>4</v>
      </c>
      <c r="B21" s="1633"/>
      <c r="C21" s="1633"/>
      <c r="D21" s="1633"/>
      <c r="E21" s="1634"/>
      <c r="F21" s="309"/>
      <c r="G21" s="1630">
        <v>4</v>
      </c>
      <c r="H21" s="1631"/>
      <c r="I21" s="1631"/>
      <c r="J21" s="1631"/>
      <c r="K21" s="309"/>
      <c r="L21" s="1630">
        <v>4</v>
      </c>
      <c r="M21" s="1631"/>
      <c r="N21" s="1631"/>
      <c r="O21" s="1631"/>
      <c r="P21" s="309"/>
      <c r="Q21" s="1540"/>
      <c r="R21" s="1540"/>
      <c r="S21" s="217"/>
    </row>
    <row r="22" spans="1:19" s="52" customFormat="1" ht="24.6" customHeight="1">
      <c r="A22" s="1632">
        <v>5</v>
      </c>
      <c r="B22" s="1633"/>
      <c r="C22" s="1633"/>
      <c r="D22" s="1633"/>
      <c r="E22" s="1634"/>
      <c r="F22" s="309"/>
      <c r="G22" s="1630">
        <v>5</v>
      </c>
      <c r="H22" s="1631"/>
      <c r="I22" s="1631"/>
      <c r="J22" s="1631"/>
      <c r="K22" s="309"/>
      <c r="L22" s="1630">
        <v>5</v>
      </c>
      <c r="M22" s="1631"/>
      <c r="N22" s="1631"/>
      <c r="O22" s="1631"/>
      <c r="P22" s="309"/>
      <c r="R22" s="217"/>
      <c r="S22" s="217"/>
    </row>
    <row r="23" spans="1:19" s="52" customFormat="1" ht="24.6" customHeight="1">
      <c r="A23" s="1632">
        <v>6</v>
      </c>
      <c r="B23" s="1633"/>
      <c r="C23" s="1633"/>
      <c r="D23" s="1633"/>
      <c r="E23" s="1634"/>
      <c r="F23" s="309"/>
      <c r="G23" s="1630">
        <v>6</v>
      </c>
      <c r="H23" s="1631"/>
      <c r="I23" s="1631"/>
      <c r="J23" s="1631"/>
      <c r="K23" s="309"/>
      <c r="L23" s="1630">
        <v>6</v>
      </c>
      <c r="M23" s="1631"/>
      <c r="N23" s="1631"/>
      <c r="O23" s="1631"/>
      <c r="P23" s="309"/>
      <c r="R23" s="217"/>
      <c r="S23" s="217"/>
    </row>
    <row r="24" spans="1:19" s="52" customFormat="1" ht="24.6" customHeight="1">
      <c r="A24" s="1632">
        <v>7</v>
      </c>
      <c r="B24" s="1633"/>
      <c r="C24" s="1633"/>
      <c r="D24" s="1633"/>
      <c r="E24" s="1634"/>
      <c r="F24" s="309"/>
      <c r="G24" s="1630">
        <v>7</v>
      </c>
      <c r="H24" s="1631"/>
      <c r="I24" s="1631"/>
      <c r="J24" s="1631"/>
      <c r="K24" s="309"/>
      <c r="L24" s="1630">
        <v>7</v>
      </c>
      <c r="M24" s="1631"/>
      <c r="N24" s="1631"/>
      <c r="O24" s="1631"/>
      <c r="P24" s="309"/>
      <c r="R24" s="217"/>
      <c r="S24" s="217"/>
    </row>
    <row r="25" spans="1:19" s="52" customFormat="1" ht="24.6" customHeight="1">
      <c r="A25" s="1632">
        <v>8</v>
      </c>
      <c r="B25" s="1633"/>
      <c r="C25" s="1633"/>
      <c r="D25" s="1633"/>
      <c r="E25" s="1634"/>
      <c r="F25" s="309"/>
      <c r="G25" s="1630">
        <v>8</v>
      </c>
      <c r="H25" s="1631"/>
      <c r="I25" s="1631"/>
      <c r="J25" s="1631"/>
      <c r="K25" s="309"/>
      <c r="L25" s="1630">
        <v>8</v>
      </c>
      <c r="M25" s="1631"/>
      <c r="N25" s="1631"/>
      <c r="O25" s="1631"/>
      <c r="P25" s="309"/>
      <c r="R25" s="217"/>
      <c r="S25" s="217"/>
    </row>
    <row r="26" spans="1:19" s="52" customFormat="1" ht="24.6" customHeight="1">
      <c r="A26" s="1632">
        <v>9</v>
      </c>
      <c r="B26" s="1633"/>
      <c r="C26" s="1633"/>
      <c r="D26" s="1633"/>
      <c r="E26" s="1634"/>
      <c r="F26" s="309"/>
      <c r="G26" s="1630">
        <v>9</v>
      </c>
      <c r="H26" s="1631"/>
      <c r="I26" s="1631"/>
      <c r="J26" s="1631"/>
      <c r="K26" s="309"/>
      <c r="L26" s="1630">
        <v>9</v>
      </c>
      <c r="M26" s="1631"/>
      <c r="N26" s="1631"/>
      <c r="O26" s="1631"/>
      <c r="P26" s="309"/>
      <c r="R26" s="217"/>
      <c r="S26" s="217"/>
    </row>
    <row r="27" spans="1:19" s="52" customFormat="1" ht="24.6" customHeight="1">
      <c r="A27" s="1632">
        <v>10</v>
      </c>
      <c r="B27" s="1633"/>
      <c r="C27" s="1633"/>
      <c r="D27" s="1633"/>
      <c r="E27" s="1634"/>
      <c r="F27" s="309"/>
      <c r="G27" s="1630">
        <v>10</v>
      </c>
      <c r="H27" s="1631"/>
      <c r="I27" s="1631"/>
      <c r="J27" s="1631"/>
      <c r="K27" s="309"/>
      <c r="L27" s="1630">
        <v>10</v>
      </c>
      <c r="M27" s="1631"/>
      <c r="N27" s="1631"/>
      <c r="O27" s="1631"/>
      <c r="P27" s="309"/>
      <c r="R27" s="217"/>
      <c r="S27" s="217"/>
    </row>
    <row r="28" spans="1:19" s="52" customFormat="1" ht="24.6" customHeight="1">
      <c r="A28" s="1632">
        <v>11</v>
      </c>
      <c r="B28" s="1633"/>
      <c r="C28" s="1633"/>
      <c r="D28" s="1633"/>
      <c r="E28" s="1634"/>
      <c r="F28" s="309"/>
      <c r="G28" s="1630">
        <v>11</v>
      </c>
      <c r="H28" s="1631"/>
      <c r="I28" s="1631"/>
      <c r="J28" s="1631"/>
      <c r="K28" s="309"/>
      <c r="L28" s="1630">
        <v>11</v>
      </c>
      <c r="M28" s="1631"/>
      <c r="N28" s="1631"/>
      <c r="O28" s="1631"/>
      <c r="P28" s="309"/>
      <c r="R28" s="217"/>
      <c r="S28" s="217"/>
    </row>
    <row r="29" spans="1:19" s="52" customFormat="1" ht="24.6" customHeight="1">
      <c r="A29" s="1649">
        <v>12</v>
      </c>
      <c r="B29" s="1650"/>
      <c r="C29" s="1650"/>
      <c r="D29" s="1650"/>
      <c r="E29" s="1651"/>
      <c r="F29" s="310"/>
      <c r="G29" s="1635">
        <v>12</v>
      </c>
      <c r="H29" s="1636"/>
      <c r="I29" s="1636"/>
      <c r="J29" s="1636"/>
      <c r="K29" s="310"/>
      <c r="L29" s="1635">
        <v>12</v>
      </c>
      <c r="M29" s="1636"/>
      <c r="N29" s="1636"/>
      <c r="O29" s="1636"/>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3064</v>
      </c>
      <c r="B31" s="151" t="s">
        <v>1630</v>
      </c>
      <c r="E31" s="72"/>
      <c r="G31" s="119"/>
      <c r="H31" s="65"/>
      <c r="K31" s="149"/>
      <c r="L31" s="573" t="str">
        <f>IF($O31&gt;$M31,"* * Check Score! * *","")</f>
        <v/>
      </c>
      <c r="M31" s="1">
        <v>3</v>
      </c>
      <c r="N31" s="8"/>
      <c r="O31" s="793">
        <v>3</v>
      </c>
      <c r="P31" s="69"/>
      <c r="Q31" s="146" t="s">
        <v>651</v>
      </c>
      <c r="R31" s="573" t="str">
        <f>IF(OR($O31=$M31,$O31=0,$O31=""),"","* * Check Score! * *")</f>
        <v/>
      </c>
    </row>
    <row r="32" spans="1:19" s="53" customFormat="1" ht="11.25" customHeight="1">
      <c r="A32" s="52"/>
      <c r="B32" s="154" t="s">
        <v>1937</v>
      </c>
      <c r="E32" s="72"/>
      <c r="H32" s="588" t="s">
        <v>130</v>
      </c>
      <c r="J32" s="794">
        <v>8</v>
      </c>
      <c r="L32" s="82" t="s">
        <v>1938</v>
      </c>
      <c r="M32" s="148">
        <f>IF(OR('Part VI-Revenues &amp; Expenses'!$M$61="", 'Part VI-Revenues &amp; Expenses'!$M$61=0),"",J32/'Part VI-Revenues &amp; Expenses'!$M$61)</f>
        <v>0.16666666666666666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530" t="s">
        <v>4014</v>
      </c>
      <c r="B34" s="1531"/>
      <c r="C34" s="1531"/>
      <c r="D34" s="1531"/>
      <c r="E34" s="1531"/>
      <c r="F34" s="1531"/>
      <c r="G34" s="1531"/>
      <c r="H34" s="1531"/>
      <c r="I34" s="1531"/>
      <c r="J34" s="1531"/>
      <c r="K34" s="1531"/>
      <c r="L34" s="1531"/>
      <c r="M34" s="1531"/>
      <c r="N34" s="1531"/>
      <c r="O34" s="1531"/>
      <c r="P34" s="1532"/>
    </row>
    <row r="35" spans="1:18" s="53" customFormat="1" ht="11.4"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573"/>
      <c r="B36" s="1574"/>
      <c r="C36" s="1574"/>
      <c r="D36" s="1574"/>
      <c r="E36" s="1574"/>
      <c r="F36" s="1574"/>
      <c r="G36" s="1574"/>
      <c r="H36" s="1574"/>
      <c r="I36" s="1574"/>
      <c r="J36" s="1574"/>
      <c r="K36" s="1574"/>
      <c r="L36" s="1574"/>
      <c r="M36" s="1574"/>
      <c r="N36" s="1574"/>
      <c r="O36" s="1574"/>
      <c r="P36" s="1575"/>
    </row>
    <row r="37" spans="1:18" ht="13.2" customHeight="1"/>
    <row r="38" spans="1:18" s="53" customFormat="1" ht="12.6" customHeight="1">
      <c r="A38" s="210" t="s">
        <v>3821</v>
      </c>
      <c r="B38" s="142" t="s">
        <v>2928</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3058</v>
      </c>
      <c r="B41" s="238" t="s">
        <v>2930</v>
      </c>
      <c r="C41" s="5"/>
      <c r="D41" s="5"/>
      <c r="E41" s="246" t="s">
        <v>2933</v>
      </c>
      <c r="F41" s="461"/>
      <c r="G41" s="246" t="s">
        <v>2929</v>
      </c>
      <c r="I41" s="49"/>
      <c r="K41" s="58"/>
      <c r="L41" s="794">
        <v>0</v>
      </c>
      <c r="M41" s="3">
        <v>10</v>
      </c>
      <c r="N41" s="252" t="s">
        <v>3058</v>
      </c>
      <c r="O41" s="795">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795">
        <v>2</v>
      </c>
      <c r="P42" s="89"/>
      <c r="R42" s="573"/>
    </row>
    <row r="43" spans="1:18" s="53" customFormat="1" ht="12.6" customHeight="1">
      <c r="A43" s="189" t="s">
        <v>1237</v>
      </c>
      <c r="B43" s="238" t="s">
        <v>2932</v>
      </c>
      <c r="D43" s="51"/>
      <c r="E43" s="246" t="s">
        <v>624</v>
      </c>
      <c r="F43" s="599"/>
      <c r="G43" s="246" t="s">
        <v>625</v>
      </c>
      <c r="L43" s="794">
        <v>0</v>
      </c>
      <c r="M43" s="7" t="s">
        <v>1899</v>
      </c>
      <c r="N43" s="252" t="s">
        <v>1237</v>
      </c>
      <c r="O43" s="793">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 customHeight="1">
      <c r="A46" s="1524" t="s">
        <v>4015</v>
      </c>
      <c r="B46" s="1525"/>
      <c r="C46" s="1525"/>
      <c r="D46" s="1525"/>
      <c r="E46" s="1525"/>
      <c r="F46" s="1525"/>
      <c r="G46" s="1525"/>
      <c r="H46" s="1525"/>
      <c r="I46" s="1525"/>
      <c r="J46" s="1525"/>
      <c r="K46" s="1525"/>
      <c r="L46" s="1525"/>
      <c r="M46" s="1525"/>
      <c r="N46" s="1525"/>
      <c r="O46" s="1525"/>
      <c r="P46" s="1526"/>
      <c r="Q46" s="1540" t="s">
        <v>1931</v>
      </c>
      <c r="R46" s="1540"/>
    </row>
    <row r="47" spans="1:18" s="53" customFormat="1" ht="23.4" customHeight="1">
      <c r="A47" s="1544" t="s">
        <v>4016</v>
      </c>
      <c r="B47" s="1545"/>
      <c r="C47" s="1545"/>
      <c r="D47" s="1545"/>
      <c r="E47" s="1545"/>
      <c r="F47" s="1545"/>
      <c r="G47" s="1545"/>
      <c r="H47" s="1545"/>
      <c r="I47" s="1545"/>
      <c r="J47" s="1545"/>
      <c r="K47" s="1545"/>
      <c r="L47" s="1545"/>
      <c r="M47" s="1545"/>
      <c r="N47" s="1545"/>
      <c r="O47" s="1545"/>
      <c r="P47" s="1546"/>
      <c r="Q47" s="1540"/>
      <c r="R47" s="1540"/>
    </row>
    <row r="48" spans="1:18" s="53" customFormat="1" ht="23.4" customHeight="1">
      <c r="A48" s="1518"/>
      <c r="B48" s="1519"/>
      <c r="C48" s="1519"/>
      <c r="D48" s="1519"/>
      <c r="E48" s="1519"/>
      <c r="F48" s="1519"/>
      <c r="G48" s="1519"/>
      <c r="H48" s="1519"/>
      <c r="I48" s="1519"/>
      <c r="J48" s="1519"/>
      <c r="K48" s="1519"/>
      <c r="L48" s="1519"/>
      <c r="M48" s="1519"/>
      <c r="N48" s="1519"/>
      <c r="O48" s="1519"/>
      <c r="P48" s="1520"/>
    </row>
    <row r="49" spans="1:18" s="53" customFormat="1" ht="11.4" customHeight="1">
      <c r="A49" s="52"/>
      <c r="B49" s="84" t="s">
        <v>2920</v>
      </c>
      <c r="C49" s="52"/>
      <c r="D49" s="187"/>
      <c r="E49" s="740"/>
      <c r="F49" s="740"/>
      <c r="G49" s="740"/>
      <c r="H49" s="740"/>
      <c r="I49" s="740"/>
      <c r="J49" s="740"/>
      <c r="K49" s="740"/>
      <c r="L49" s="740"/>
      <c r="M49" s="740"/>
      <c r="N49" s="94"/>
      <c r="O49" s="90"/>
      <c r="P49" s="3"/>
    </row>
    <row r="50" spans="1:18" s="53" customFormat="1" ht="23.4" customHeight="1">
      <c r="A50" s="1515"/>
      <c r="B50" s="1516"/>
      <c r="C50" s="1516"/>
      <c r="D50" s="1516"/>
      <c r="E50" s="1516"/>
      <c r="F50" s="1516"/>
      <c r="G50" s="1516"/>
      <c r="H50" s="1516"/>
      <c r="I50" s="1516"/>
      <c r="J50" s="1516"/>
      <c r="K50" s="1516"/>
      <c r="L50" s="1516"/>
      <c r="M50" s="1516"/>
      <c r="N50" s="1516"/>
      <c r="O50" s="1516"/>
      <c r="P50" s="1517"/>
      <c r="Q50" s="1540" t="s">
        <v>1931</v>
      </c>
      <c r="R50" s="1540"/>
    </row>
    <row r="51" spans="1:18" s="53" customFormat="1" ht="23.4" customHeight="1">
      <c r="A51" s="1547"/>
      <c r="B51" s="1548"/>
      <c r="C51" s="1548"/>
      <c r="D51" s="1548"/>
      <c r="E51" s="1548"/>
      <c r="F51" s="1548"/>
      <c r="G51" s="1548"/>
      <c r="H51" s="1548"/>
      <c r="I51" s="1548"/>
      <c r="J51" s="1548"/>
      <c r="K51" s="1548"/>
      <c r="L51" s="1548"/>
      <c r="M51" s="1548"/>
      <c r="N51" s="1548"/>
      <c r="O51" s="1548"/>
      <c r="P51" s="1549"/>
      <c r="Q51" s="1540"/>
      <c r="R51" s="1540"/>
    </row>
    <row r="52" spans="1:18" s="53" customFormat="1" ht="23.4" customHeight="1">
      <c r="A52" s="1533"/>
      <c r="B52" s="1534"/>
      <c r="C52" s="1534"/>
      <c r="D52" s="1534"/>
      <c r="E52" s="1534"/>
      <c r="F52" s="1534"/>
      <c r="G52" s="1534"/>
      <c r="H52" s="1534"/>
      <c r="I52" s="1534"/>
      <c r="J52" s="1534"/>
      <c r="K52" s="1534"/>
      <c r="L52" s="1534"/>
      <c r="M52" s="1534"/>
      <c r="N52" s="1534"/>
      <c r="O52" s="1534"/>
      <c r="P52" s="1535"/>
    </row>
    <row r="53" spans="1:18" ht="3.6" customHeight="1">
      <c r="M53" s="42"/>
      <c r="N53" s="156"/>
      <c r="O53" s="206"/>
      <c r="P53" s="206"/>
    </row>
    <row r="54" spans="1:18" ht="3" customHeight="1"/>
    <row r="55" spans="1:18" s="53" customFormat="1" ht="12.6" customHeight="1">
      <c r="A55" s="210" t="s">
        <v>1884</v>
      </c>
      <c r="B55" s="142" t="s">
        <v>1939</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1708</v>
      </c>
      <c r="C56" s="5"/>
      <c r="D56" s="5"/>
      <c r="E56" s="46"/>
      <c r="F56" s="5"/>
      <c r="G56" s="49"/>
      <c r="I56" s="49"/>
      <c r="K56" s="58"/>
      <c r="L56" s="573" t="str">
        <f>IF(OR($O56=$M56,$O56=0,$O56=""),"","* * Check Score! * *")</f>
        <v/>
      </c>
      <c r="M56" s="3">
        <v>2</v>
      </c>
      <c r="N56" s="252" t="s">
        <v>3058</v>
      </c>
      <c r="O56" s="795"/>
      <c r="P56" s="89"/>
      <c r="R56" s="573"/>
    </row>
    <row r="57" spans="1:18" s="53" customFormat="1" ht="12.6" customHeight="1">
      <c r="A57" s="189" t="s">
        <v>3061</v>
      </c>
      <c r="B57" s="238" t="s">
        <v>1709</v>
      </c>
      <c r="E57" s="51"/>
      <c r="K57" s="58"/>
      <c r="L57" s="573" t="str">
        <f>IF(OR($O57=$M57,$O57=0,$O57=""),"","* * Check Score! * *")</f>
        <v/>
      </c>
      <c r="M57" s="3">
        <v>1</v>
      </c>
      <c r="N57" s="62" t="s">
        <v>3061</v>
      </c>
      <c r="O57" s="795"/>
      <c r="P57" s="89"/>
      <c r="R57" s="573"/>
    </row>
    <row r="58" spans="1:18" s="139" customFormat="1" ht="11.4" customHeight="1">
      <c r="A58" s="52"/>
      <c r="B58" s="59" t="s">
        <v>333</v>
      </c>
      <c r="C58" s="52"/>
      <c r="D58" s="58"/>
      <c r="E58" s="58"/>
      <c r="F58" s="58"/>
      <c r="G58" s="58"/>
      <c r="H58" s="46"/>
      <c r="I58" s="46"/>
      <c r="J58" s="46"/>
      <c r="K58" s="46"/>
      <c r="M58" s="56"/>
      <c r="N58" s="7"/>
      <c r="O58" s="4"/>
      <c r="P58" s="3"/>
    </row>
    <row r="59" spans="1:18" s="53" customFormat="1" ht="23.4" customHeight="1">
      <c r="A59" s="1530" t="s">
        <v>4013</v>
      </c>
      <c r="B59" s="1531"/>
      <c r="C59" s="1531"/>
      <c r="D59" s="1531"/>
      <c r="E59" s="1531"/>
      <c r="F59" s="1531"/>
      <c r="G59" s="1531"/>
      <c r="H59" s="1531"/>
      <c r="I59" s="1531"/>
      <c r="J59" s="1531"/>
      <c r="K59" s="1531"/>
      <c r="L59" s="1531"/>
      <c r="M59" s="1531"/>
      <c r="N59" s="1531"/>
      <c r="O59" s="1531"/>
      <c r="P59" s="1532"/>
    </row>
    <row r="60" spans="1:18" s="139" customFormat="1" ht="11.4" customHeight="1">
      <c r="A60" s="52"/>
      <c r="B60" s="133" t="s">
        <v>2920</v>
      </c>
      <c r="C60" s="52"/>
      <c r="D60" s="133"/>
      <c r="E60" s="737"/>
      <c r="F60" s="737"/>
      <c r="G60" s="737"/>
      <c r="H60" s="737"/>
      <c r="I60" s="737"/>
      <c r="J60" s="737"/>
      <c r="K60" s="737"/>
      <c r="L60" s="737"/>
      <c r="M60" s="737"/>
      <c r="N60" s="127"/>
      <c r="O60" s="259"/>
      <c r="P60" s="3"/>
    </row>
    <row r="61" spans="1:18" s="53" customFormat="1" ht="23.4" customHeight="1">
      <c r="A61" s="1515"/>
      <c r="B61" s="1516"/>
      <c r="C61" s="1516"/>
      <c r="D61" s="1516"/>
      <c r="E61" s="1516"/>
      <c r="F61" s="1516"/>
      <c r="G61" s="1516"/>
      <c r="H61" s="1516"/>
      <c r="I61" s="1516"/>
      <c r="J61" s="1516"/>
      <c r="K61" s="1516"/>
      <c r="L61" s="1516"/>
      <c r="M61" s="1516"/>
      <c r="N61" s="1516"/>
      <c r="O61" s="1516"/>
      <c r="P61" s="1517"/>
    </row>
    <row r="62" spans="1:18" s="53" customFormat="1" ht="23.4" customHeight="1">
      <c r="A62" s="1533"/>
      <c r="B62" s="1534"/>
      <c r="C62" s="1534"/>
      <c r="D62" s="1534"/>
      <c r="E62" s="1534"/>
      <c r="F62" s="1534"/>
      <c r="G62" s="1534"/>
      <c r="H62" s="1534"/>
      <c r="I62" s="1534"/>
      <c r="J62" s="1534"/>
      <c r="K62" s="1534"/>
      <c r="L62" s="1534"/>
      <c r="M62" s="1534"/>
      <c r="N62" s="1534"/>
      <c r="O62" s="1534"/>
      <c r="P62" s="1535"/>
    </row>
    <row r="63" spans="1:18" s="53" customFormat="1" ht="3" customHeight="1">
      <c r="A63" s="253"/>
      <c r="B63" s="61"/>
      <c r="G63" s="51"/>
      <c r="J63" s="58"/>
      <c r="K63" s="58"/>
      <c r="M63" s="139"/>
      <c r="N63" s="61"/>
      <c r="O63" s="139"/>
      <c r="P63" s="139"/>
    </row>
    <row r="64" spans="1:18" s="53" customFormat="1" ht="12.6" customHeight="1">
      <c r="A64" s="210" t="s">
        <v>1885</v>
      </c>
      <c r="B64" s="142" t="s">
        <v>3702</v>
      </c>
      <c r="D64" s="51"/>
      <c r="E64" s="600" t="s">
        <v>3704</v>
      </c>
      <c r="I64" s="59" t="s">
        <v>2939</v>
      </c>
      <c r="M64" s="3">
        <v>1</v>
      </c>
      <c r="N64" s="616" t="str">
        <f>IF(OR($O64=$M64,$O64=0,$O64=""),"","***")</f>
        <v/>
      </c>
      <c r="O64" s="795"/>
      <c r="P64" s="89"/>
      <c r="Q64" s="146" t="s">
        <v>651</v>
      </c>
    </row>
    <row r="65" spans="1:17" s="53" customFormat="1" ht="12.6" customHeight="1">
      <c r="A65" s="210"/>
      <c r="B65" s="600" t="s">
        <v>1210</v>
      </c>
      <c r="D65" s="51"/>
      <c r="H65" s="59"/>
      <c r="I65" s="59"/>
      <c r="J65" s="59"/>
      <c r="K65" s="59"/>
      <c r="L65" s="59"/>
      <c r="M65" s="3"/>
      <c r="N65" s="616"/>
      <c r="O65" s="796"/>
      <c r="P65" s="234"/>
      <c r="Q65" s="146"/>
    </row>
    <row r="66" spans="1:17" s="53" customFormat="1" ht="12.6" customHeight="1">
      <c r="A66" s="210"/>
      <c r="B66" s="600" t="s">
        <v>1209</v>
      </c>
      <c r="D66" s="51"/>
      <c r="H66" s="59"/>
      <c r="I66" s="1682"/>
      <c r="J66" s="1683"/>
      <c r="K66" s="1683"/>
      <c r="L66" s="1684"/>
      <c r="M66" s="3"/>
      <c r="N66" s="616"/>
      <c r="O66" s="616"/>
      <c r="P66" s="616"/>
      <c r="Q66" s="146"/>
    </row>
    <row r="67" spans="1:17" s="53" customFormat="1" ht="12.6" customHeight="1">
      <c r="A67" s="210"/>
      <c r="B67" s="600" t="s">
        <v>1211</v>
      </c>
      <c r="D67" s="51"/>
      <c r="H67" s="59"/>
      <c r="I67" s="59"/>
      <c r="J67" s="59"/>
      <c r="K67" s="59"/>
      <c r="L67" s="59"/>
      <c r="M67" s="3"/>
      <c r="N67" s="616"/>
      <c r="O67" s="796"/>
      <c r="P67" s="234"/>
      <c r="Q67" s="146"/>
    </row>
    <row r="68" spans="1:17" s="139" customFormat="1" ht="11.4" customHeight="1">
      <c r="A68" s="52"/>
      <c r="B68" s="59" t="s">
        <v>333</v>
      </c>
      <c r="C68" s="52"/>
      <c r="D68" s="58"/>
      <c r="E68" s="58"/>
      <c r="F68" s="58"/>
      <c r="G68" s="58"/>
      <c r="I68" s="46"/>
      <c r="J68" s="46"/>
      <c r="K68" s="46"/>
      <c r="M68" s="56"/>
      <c r="N68" s="7"/>
      <c r="O68" s="4"/>
      <c r="P68" s="3"/>
    </row>
    <row r="69" spans="1:17" s="53" customFormat="1" ht="23.4" customHeight="1">
      <c r="A69" s="1530" t="s">
        <v>4013</v>
      </c>
      <c r="B69" s="1531"/>
      <c r="C69" s="1531"/>
      <c r="D69" s="1531"/>
      <c r="E69" s="1531"/>
      <c r="F69" s="1531"/>
      <c r="G69" s="1531"/>
      <c r="H69" s="1531"/>
      <c r="I69" s="1531"/>
      <c r="J69" s="1531"/>
      <c r="K69" s="1531"/>
      <c r="L69" s="1531"/>
      <c r="M69" s="1531"/>
      <c r="N69" s="1531"/>
      <c r="O69" s="1531"/>
      <c r="P69" s="1532"/>
    </row>
    <row r="70" spans="1:17" s="139" customFormat="1" ht="11.4" customHeight="1">
      <c r="A70" s="52"/>
      <c r="B70" s="133" t="s">
        <v>2920</v>
      </c>
      <c r="C70" s="52"/>
      <c r="D70" s="133"/>
      <c r="E70" s="737"/>
      <c r="F70" s="737"/>
      <c r="G70" s="737"/>
      <c r="H70" s="737"/>
      <c r="I70" s="737"/>
      <c r="J70" s="737"/>
      <c r="K70" s="737"/>
      <c r="L70" s="737"/>
      <c r="M70" s="737"/>
      <c r="N70" s="127"/>
      <c r="O70" s="259"/>
      <c r="P70" s="3"/>
    </row>
    <row r="71" spans="1:17" s="53" customFormat="1" ht="23.4" customHeight="1">
      <c r="A71" s="1515"/>
      <c r="B71" s="1516"/>
      <c r="C71" s="1516"/>
      <c r="D71" s="1516"/>
      <c r="E71" s="1516"/>
      <c r="F71" s="1516"/>
      <c r="G71" s="1516"/>
      <c r="H71" s="1516"/>
      <c r="I71" s="1516"/>
      <c r="J71" s="1516"/>
      <c r="K71" s="1516"/>
      <c r="L71" s="1516"/>
      <c r="M71" s="1516"/>
      <c r="N71" s="1516"/>
      <c r="O71" s="1516"/>
      <c r="P71" s="1517"/>
    </row>
    <row r="72" spans="1:17" s="53" customFormat="1" ht="23.4" customHeight="1">
      <c r="A72" s="1533"/>
      <c r="B72" s="1534"/>
      <c r="C72" s="1534"/>
      <c r="D72" s="1534"/>
      <c r="E72" s="1534"/>
      <c r="F72" s="1534"/>
      <c r="G72" s="1534"/>
      <c r="H72" s="1534"/>
      <c r="I72" s="1534"/>
      <c r="J72" s="1534"/>
      <c r="K72" s="1534"/>
      <c r="L72" s="1534"/>
      <c r="M72" s="1534"/>
      <c r="N72" s="1534"/>
      <c r="O72" s="1534"/>
      <c r="P72" s="1535"/>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2089</v>
      </c>
      <c r="I74" s="59" t="s">
        <v>2939</v>
      </c>
      <c r="M74" s="3">
        <v>2</v>
      </c>
      <c r="N74" s="62"/>
      <c r="O74" s="795"/>
      <c r="P74" s="89"/>
      <c r="Q74" s="146" t="s">
        <v>651</v>
      </c>
    </row>
    <row r="75" spans="1:17" s="53" customFormat="1" ht="12.6" customHeight="1">
      <c r="A75" s="210"/>
      <c r="B75" s="600" t="s">
        <v>1212</v>
      </c>
      <c r="D75" s="51"/>
      <c r="E75" s="46"/>
      <c r="I75" s="1682"/>
      <c r="J75" s="1683"/>
      <c r="K75" s="1683"/>
      <c r="L75" s="1684"/>
      <c r="M75" s="3"/>
      <c r="N75" s="62"/>
      <c r="O75" s="62"/>
      <c r="P75" s="62"/>
      <c r="Q75" s="146"/>
    </row>
    <row r="76" spans="1:17" s="139" customFormat="1" ht="11.4" customHeight="1">
      <c r="A76" s="52"/>
      <c r="B76" s="59" t="s">
        <v>333</v>
      </c>
      <c r="C76" s="52"/>
      <c r="D76" s="58"/>
      <c r="E76" s="58"/>
      <c r="F76" s="58"/>
      <c r="G76" s="58"/>
      <c r="I76" s="46"/>
      <c r="J76" s="46"/>
      <c r="K76" s="46"/>
      <c r="M76" s="56"/>
      <c r="N76" s="7"/>
      <c r="O76" s="4"/>
      <c r="P76" s="3"/>
    </row>
    <row r="77" spans="1:17" s="53" customFormat="1" ht="23.4" customHeight="1">
      <c r="A77" s="1530" t="s">
        <v>4013</v>
      </c>
      <c r="B77" s="1531"/>
      <c r="C77" s="1531"/>
      <c r="D77" s="1531"/>
      <c r="E77" s="1531"/>
      <c r="F77" s="1531"/>
      <c r="G77" s="1531"/>
      <c r="H77" s="1531"/>
      <c r="I77" s="1531"/>
      <c r="J77" s="1531"/>
      <c r="K77" s="1531"/>
      <c r="L77" s="1531"/>
      <c r="M77" s="1531"/>
      <c r="N77" s="1531"/>
      <c r="O77" s="1531"/>
      <c r="P77" s="1532"/>
    </row>
    <row r="78" spans="1:17" s="139" customFormat="1" ht="11.4" customHeight="1">
      <c r="A78" s="52"/>
      <c r="B78" s="133" t="s">
        <v>2920</v>
      </c>
      <c r="C78" s="52"/>
      <c r="D78" s="133"/>
      <c r="E78" s="737"/>
      <c r="F78" s="737"/>
      <c r="G78" s="737"/>
      <c r="H78" s="737"/>
      <c r="I78" s="737"/>
      <c r="J78" s="737"/>
      <c r="K78" s="737"/>
      <c r="L78" s="737"/>
      <c r="M78" s="737"/>
      <c r="N78" s="127"/>
      <c r="O78" s="259"/>
      <c r="P78" s="3"/>
    </row>
    <row r="79" spans="1:17" s="53" customFormat="1" ht="23.4" customHeight="1">
      <c r="A79" s="1515"/>
      <c r="B79" s="1516"/>
      <c r="C79" s="1516"/>
      <c r="D79" s="1516"/>
      <c r="E79" s="1516"/>
      <c r="F79" s="1516"/>
      <c r="G79" s="1516"/>
      <c r="H79" s="1516"/>
      <c r="I79" s="1516"/>
      <c r="J79" s="1516"/>
      <c r="K79" s="1516"/>
      <c r="L79" s="1516"/>
      <c r="M79" s="1516"/>
      <c r="N79" s="1516"/>
      <c r="O79" s="1516"/>
      <c r="P79" s="1517"/>
    </row>
    <row r="80" spans="1:17" s="53" customFormat="1" ht="23.4" customHeight="1">
      <c r="A80" s="1533"/>
      <c r="B80" s="1534"/>
      <c r="C80" s="1534"/>
      <c r="D80" s="1534"/>
      <c r="E80" s="1534"/>
      <c r="F80" s="1534"/>
      <c r="G80" s="1534"/>
      <c r="H80" s="1534"/>
      <c r="I80" s="1534"/>
      <c r="J80" s="1534"/>
      <c r="K80" s="1534"/>
      <c r="L80" s="1534"/>
      <c r="M80" s="1534"/>
      <c r="N80" s="1534"/>
      <c r="O80" s="1534"/>
      <c r="P80" s="1535"/>
    </row>
    <row r="81" spans="1:18" ht="6" customHeight="1">
      <c r="B81" s="159"/>
      <c r="C81" s="159"/>
      <c r="D81" s="159"/>
      <c r="E81" s="159"/>
      <c r="R81" s="53"/>
    </row>
    <row r="82" spans="1:18" s="53" customFormat="1" ht="22.5" customHeight="1">
      <c r="A82" s="210" t="s">
        <v>742</v>
      </c>
      <c r="B82" s="143" t="s">
        <v>277</v>
      </c>
      <c r="D82" s="49"/>
      <c r="E82" s="46"/>
      <c r="F82" s="246" t="s">
        <v>626</v>
      </c>
      <c r="I82" s="1041" t="s">
        <v>4017</v>
      </c>
      <c r="J82" s="1042"/>
      <c r="K82" s="1042"/>
      <c r="L82" s="1043"/>
      <c r="M82" s="3">
        <v>3</v>
      </c>
      <c r="O82" s="96">
        <f>IF(OR(I82="Earth Craft Communities",I82="LEED-ND"),3,IF(OR(I82="Earth Craft House",I82="LEED for Homes",I82="EF Green Communities"),2,0))</f>
        <v>2</v>
      </c>
      <c r="P82" s="89"/>
      <c r="Q82" s="146" t="s">
        <v>651</v>
      </c>
    </row>
    <row r="83" spans="1:18" s="139" customFormat="1" ht="24" customHeight="1">
      <c r="A83" s="52"/>
      <c r="B83" s="1686" t="s">
        <v>2657</v>
      </c>
      <c r="C83" s="1666"/>
      <c r="D83" s="1666"/>
      <c r="E83" s="1666"/>
      <c r="F83" s="1666"/>
      <c r="G83" s="1666"/>
      <c r="H83" s="1666"/>
      <c r="I83" s="1666"/>
      <c r="J83" s="1666"/>
      <c r="K83" s="1666"/>
      <c r="L83" s="1666"/>
      <c r="M83" s="1666"/>
      <c r="N83" s="1"/>
      <c r="O83" s="797" t="s">
        <v>3918</v>
      </c>
      <c r="P83" s="551"/>
    </row>
    <row r="84" spans="1:18" s="598" customFormat="1" ht="34.950000000000003" customHeight="1">
      <c r="B84" s="194" t="s">
        <v>3058</v>
      </c>
      <c r="C84" s="1687" t="s">
        <v>1568</v>
      </c>
      <c r="D84" s="1539"/>
      <c r="E84" s="1539"/>
      <c r="F84" s="1539"/>
      <c r="G84" s="1539"/>
      <c r="H84" s="1539"/>
      <c r="I84" s="1539"/>
      <c r="J84" s="1539"/>
      <c r="K84" s="1539"/>
      <c r="L84" s="1539"/>
      <c r="M84" s="698" t="str">
        <f>IF(AND($I$93="Stable Communities &lt; 10%",O84=""), "X","")</f>
        <v/>
      </c>
      <c r="N84" s="221" t="s">
        <v>3058</v>
      </c>
      <c r="O84" s="798" t="s">
        <v>3993</v>
      </c>
      <c r="P84" s="703"/>
    </row>
    <row r="85" spans="1:18" s="598" customFormat="1" ht="34.950000000000003" customHeight="1">
      <c r="B85" s="194" t="s">
        <v>3061</v>
      </c>
      <c r="C85" s="1523" t="s">
        <v>1569</v>
      </c>
      <c r="D85" s="1539"/>
      <c r="E85" s="1539"/>
      <c r="F85" s="1539"/>
      <c r="G85" s="1539"/>
      <c r="H85" s="1539"/>
      <c r="I85" s="1539"/>
      <c r="J85" s="1539"/>
      <c r="K85" s="1539"/>
      <c r="L85" s="1539"/>
      <c r="M85" s="698" t="str">
        <f>IF(AND($I$93="Stable Communities &lt; 10%",O85=""), "X","")</f>
        <v/>
      </c>
      <c r="N85" s="221" t="s">
        <v>3061</v>
      </c>
      <c r="O85" s="799" t="s">
        <v>3993</v>
      </c>
      <c r="P85" s="704"/>
    </row>
    <row r="86" spans="1:18" s="139" customFormat="1" ht="11.4" customHeight="1">
      <c r="A86" s="52"/>
      <c r="B86" s="59" t="s">
        <v>333</v>
      </c>
      <c r="C86" s="52"/>
      <c r="D86" s="58"/>
      <c r="E86" s="58"/>
      <c r="F86" s="58"/>
      <c r="G86" s="58"/>
      <c r="K86" s="46"/>
      <c r="M86" s="56"/>
      <c r="N86" s="7"/>
      <c r="O86" s="4"/>
      <c r="P86" s="3"/>
    </row>
    <row r="87" spans="1:18" s="53" customFormat="1" ht="22.95" customHeight="1">
      <c r="A87" s="1679" t="s">
        <v>4018</v>
      </c>
      <c r="B87" s="1680"/>
      <c r="C87" s="1680"/>
      <c r="D87" s="1680"/>
      <c r="E87" s="1680"/>
      <c r="F87" s="1680"/>
      <c r="G87" s="1680"/>
      <c r="H87" s="1680"/>
      <c r="I87" s="1680"/>
      <c r="J87" s="1680"/>
      <c r="K87" s="1680"/>
      <c r="L87" s="1680"/>
      <c r="M87" s="1680"/>
      <c r="N87" s="1680"/>
      <c r="O87" s="1680"/>
      <c r="P87" s="1681"/>
    </row>
    <row r="88" spans="1:18" s="53" customFormat="1" ht="22.95" customHeight="1">
      <c r="A88" s="1637"/>
      <c r="B88" s="1638"/>
      <c r="C88" s="1638"/>
      <c r="D88" s="1638"/>
      <c r="E88" s="1638"/>
      <c r="F88" s="1638"/>
      <c r="G88" s="1638"/>
      <c r="H88" s="1638"/>
      <c r="I88" s="1638"/>
      <c r="J88" s="1638"/>
      <c r="K88" s="1638"/>
      <c r="L88" s="1638"/>
      <c r="M88" s="1638"/>
      <c r="N88" s="1638"/>
      <c r="O88" s="1638"/>
      <c r="P88" s="1639"/>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652"/>
      <c r="B90" s="1671"/>
      <c r="C90" s="1671"/>
      <c r="D90" s="1671"/>
      <c r="E90" s="1671"/>
      <c r="F90" s="1671"/>
      <c r="G90" s="1671"/>
      <c r="H90" s="1671"/>
      <c r="I90" s="1671"/>
      <c r="J90" s="1671"/>
      <c r="K90" s="1671"/>
      <c r="L90" s="1671"/>
      <c r="M90" s="1671"/>
      <c r="N90" s="1671"/>
      <c r="O90" s="1671"/>
      <c r="P90" s="1672"/>
    </row>
    <row r="91" spans="1:18" s="53" customFormat="1" ht="24.6" customHeight="1">
      <c r="A91" s="1649"/>
      <c r="B91" s="1677"/>
      <c r="C91" s="1677"/>
      <c r="D91" s="1677"/>
      <c r="E91" s="1677"/>
      <c r="F91" s="1677"/>
      <c r="G91" s="1677"/>
      <c r="H91" s="1677"/>
      <c r="I91" s="1677"/>
      <c r="J91" s="1677"/>
      <c r="K91" s="1677"/>
      <c r="L91" s="1677"/>
      <c r="M91" s="1677"/>
      <c r="N91" s="1677"/>
      <c r="O91" s="1677"/>
      <c r="P91" s="1678"/>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3639</v>
      </c>
      <c r="C93" s="126"/>
      <c r="D93" s="74"/>
      <c r="E93" s="74"/>
      <c r="I93" s="1041" t="s">
        <v>4019</v>
      </c>
      <c r="J93" s="1042"/>
      <c r="K93" s="1042"/>
      <c r="L93" s="1043"/>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685" t="s">
        <v>508</v>
      </c>
      <c r="B94" s="1685"/>
      <c r="C94" s="1685"/>
      <c r="D94" s="1685"/>
      <c r="E94" s="1685"/>
      <c r="F94" s="1685"/>
      <c r="G94" s="1685"/>
      <c r="H94" s="1685"/>
      <c r="I94" s="1685"/>
      <c r="J94" s="1685"/>
      <c r="K94" s="1685"/>
      <c r="L94" s="1685"/>
      <c r="M94" s="1685"/>
      <c r="N94" s="1685"/>
      <c r="O94" s="1685"/>
      <c r="P94" s="1685"/>
    </row>
    <row r="95" spans="1:18" ht="11.4" customHeight="1">
      <c r="A95" s="189" t="s">
        <v>3058</v>
      </c>
      <c r="B95" s="256" t="s">
        <v>3792</v>
      </c>
      <c r="D95" s="42"/>
      <c r="H95" s="76"/>
      <c r="I95" s="42"/>
      <c r="J95" s="42"/>
      <c r="M95" s="156">
        <v>4</v>
      </c>
      <c r="N95" s="31"/>
      <c r="O95" s="31"/>
      <c r="P95" s="31"/>
    </row>
    <row r="96" spans="1:18" ht="11.4" customHeight="1">
      <c r="A96" s="564" t="str">
        <f>IF($I$93="Stable Communities &lt; 10%", "X","")</f>
        <v/>
      </c>
      <c r="B96" s="565" t="s">
        <v>3062</v>
      </c>
      <c r="C96" s="235" t="s">
        <v>866</v>
      </c>
      <c r="E96" s="159"/>
      <c r="N96" s="31"/>
      <c r="O96" s="161" t="s">
        <v>3793</v>
      </c>
      <c r="P96" s="161" t="s">
        <v>3793</v>
      </c>
    </row>
    <row r="97" spans="1:16" ht="11.4" customHeight="1">
      <c r="B97" s="233" t="s">
        <v>3680</v>
      </c>
      <c r="C97" s="584" t="s">
        <v>3620</v>
      </c>
      <c r="E97" s="159"/>
      <c r="G97" s="137" t="s">
        <v>3621</v>
      </c>
      <c r="M97" s="590" t="str">
        <f>IF(AND($I$93="Stable Communities &lt; 10%",O97=""), "X","")</f>
        <v/>
      </c>
      <c r="N97" s="233" t="s">
        <v>3680</v>
      </c>
      <c r="O97" s="800"/>
      <c r="P97" s="354"/>
    </row>
    <row r="98" spans="1:16" ht="11.4" customHeight="1">
      <c r="B98" s="233" t="s">
        <v>3681</v>
      </c>
      <c r="C98" s="585" t="s">
        <v>3622</v>
      </c>
      <c r="E98" s="159"/>
      <c r="G98" s="137" t="s">
        <v>3623</v>
      </c>
      <c r="M98" s="590" t="str">
        <f>IF(AND($I$93="Stable Communities &lt; 10%",O98=""), "X","")</f>
        <v/>
      </c>
      <c r="N98" s="233" t="s">
        <v>3681</v>
      </c>
      <c r="O98" s="797"/>
      <c r="P98" s="551"/>
    </row>
    <row r="99" spans="1:16" ht="11.4" customHeight="1">
      <c r="B99" s="233" t="s">
        <v>3682</v>
      </c>
      <c r="C99" s="585" t="s">
        <v>2189</v>
      </c>
      <c r="E99" s="159"/>
      <c r="M99" s="590" t="str">
        <f>IF(AND($I$93="Stable Communities &lt; 10%",O99=""), "X","")</f>
        <v/>
      </c>
      <c r="N99" s="233" t="s">
        <v>3684</v>
      </c>
      <c r="O99" s="801"/>
      <c r="P99" s="355"/>
    </row>
    <row r="100" spans="1:16" ht="11.4" customHeight="1">
      <c r="A100" s="564" t="str">
        <f>IF($I$93="Stable Communities &lt; 20%", "X","")</f>
        <v>X</v>
      </c>
      <c r="B100" s="565" t="s">
        <v>3064</v>
      </c>
      <c r="C100" s="235" t="s">
        <v>866</v>
      </c>
      <c r="E100" s="159"/>
      <c r="M100" s="591"/>
      <c r="N100" s="31"/>
      <c r="O100" s="161" t="s">
        <v>3793</v>
      </c>
      <c r="P100" s="161" t="s">
        <v>3793</v>
      </c>
    </row>
    <row r="101" spans="1:16" ht="11.4" customHeight="1">
      <c r="B101" s="233" t="s">
        <v>3680</v>
      </c>
      <c r="C101" s="584" t="s">
        <v>3705</v>
      </c>
      <c r="E101" s="159"/>
      <c r="G101" s="137" t="s">
        <v>3624</v>
      </c>
      <c r="M101" s="590" t="str">
        <f>IF(AND($I$93="Stable Communities &lt; 20%",O101=""), "X","")</f>
        <v/>
      </c>
      <c r="N101" s="233" t="s">
        <v>3680</v>
      </c>
      <c r="O101" s="800" t="s">
        <v>3918</v>
      </c>
      <c r="P101" s="354"/>
    </row>
    <row r="102" spans="1:16" ht="11.4" customHeight="1">
      <c r="B102" s="233" t="s">
        <v>3681</v>
      </c>
      <c r="C102" s="585" t="s">
        <v>3622</v>
      </c>
      <c r="E102" s="159"/>
      <c r="G102" s="137" t="s">
        <v>3623</v>
      </c>
      <c r="M102" s="590" t="str">
        <f>IF(AND($I$93="Stable Communities &lt; 20%",O102=""), "X","")</f>
        <v/>
      </c>
      <c r="N102" s="233" t="s">
        <v>3681</v>
      </c>
      <c r="O102" s="797" t="s">
        <v>3918</v>
      </c>
      <c r="P102" s="551"/>
    </row>
    <row r="103" spans="1:16" ht="11.4" customHeight="1">
      <c r="B103" s="233" t="s">
        <v>3682</v>
      </c>
      <c r="C103" s="585" t="s">
        <v>2189</v>
      </c>
      <c r="E103" s="159"/>
      <c r="M103" s="590" t="str">
        <f>IF(AND($I$93="Stable Communities &lt; 20%",O103=""), "X","")</f>
        <v/>
      </c>
      <c r="N103" s="233" t="s">
        <v>3684</v>
      </c>
      <c r="O103" s="801" t="s">
        <v>3918</v>
      </c>
      <c r="P103" s="355"/>
    </row>
    <row r="104" spans="1:16" ht="11.4" customHeight="1">
      <c r="A104" s="189" t="s">
        <v>3061</v>
      </c>
      <c r="B104" s="256" t="s">
        <v>346</v>
      </c>
      <c r="D104" s="42"/>
      <c r="E104" s="42"/>
      <c r="F104" s="42"/>
      <c r="H104" s="76"/>
      <c r="M104" s="70">
        <v>6</v>
      </c>
      <c r="N104" s="31"/>
      <c r="O104" s="31"/>
      <c r="P104" s="31"/>
    </row>
    <row r="105" spans="1:16" s="53" customFormat="1" ht="11.4"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5" customHeight="1">
      <c r="B106" s="566" t="s">
        <v>3680</v>
      </c>
      <c r="C106" s="567" t="s">
        <v>912</v>
      </c>
      <c r="D106" s="137"/>
      <c r="M106" s="589" t="str">
        <f>IF(AND($I$93="HOPE VI Initiative",O106=""), "X","")</f>
        <v/>
      </c>
      <c r="N106" s="233" t="s">
        <v>3680</v>
      </c>
      <c r="O106" s="800"/>
      <c r="P106" s="354"/>
    </row>
    <row r="107" spans="1:16" ht="10.95" customHeight="1">
      <c r="B107" s="566" t="s">
        <v>3681</v>
      </c>
      <c r="C107" s="567" t="s">
        <v>913</v>
      </c>
      <c r="M107" s="589" t="str">
        <f>IF(AND($I$93="HOPE VI Initiative",O107=""), "X","")</f>
        <v/>
      </c>
      <c r="N107" s="233" t="s">
        <v>3681</v>
      </c>
      <c r="O107" s="797"/>
      <c r="P107" s="551"/>
    </row>
    <row r="108" spans="1:16" ht="10.95" customHeight="1">
      <c r="B108" s="566" t="s">
        <v>3682</v>
      </c>
      <c r="C108" s="567" t="s">
        <v>914</v>
      </c>
      <c r="M108" s="589" t="str">
        <f>IF(AND($I$93="HOPE VI Initiative",O108=""), "X","")</f>
        <v/>
      </c>
      <c r="N108" s="233" t="s">
        <v>3682</v>
      </c>
      <c r="O108" s="797"/>
      <c r="P108" s="551"/>
    </row>
    <row r="109" spans="1:16" ht="10.95" customHeight="1">
      <c r="B109" s="566" t="s">
        <v>3683</v>
      </c>
      <c r="C109" s="72" t="s">
        <v>915</v>
      </c>
      <c r="M109" s="589" t="str">
        <f>IF(AND($I$93="HOPE VI Initiative",O109=""), "X","")</f>
        <v/>
      </c>
      <c r="N109" s="233" t="s">
        <v>3683</v>
      </c>
      <c r="O109" s="801"/>
      <c r="P109" s="355"/>
    </row>
    <row r="110" spans="1:16" s="53" customFormat="1" ht="11.4" customHeight="1">
      <c r="A110" s="564"/>
      <c r="B110" s="565" t="s">
        <v>3064</v>
      </c>
      <c r="C110" s="153" t="s">
        <v>539</v>
      </c>
      <c r="D110" s="139"/>
      <c r="E110" s="50"/>
      <c r="G110" s="594" t="s">
        <v>919</v>
      </c>
      <c r="M110" s="70"/>
      <c r="N110" s="565" t="s">
        <v>3064</v>
      </c>
      <c r="O110" s="801"/>
      <c r="P110" s="355"/>
    </row>
    <row r="111" spans="1:16" s="53" customFormat="1" ht="11.4" customHeight="1">
      <c r="A111" s="564" t="str">
        <f>IF($I$93="Redevelopment Zone", "X","")</f>
        <v/>
      </c>
      <c r="B111" s="565" t="s">
        <v>3821</v>
      </c>
      <c r="C111" s="153" t="s">
        <v>540</v>
      </c>
      <c r="D111" s="139"/>
      <c r="F111" s="589"/>
      <c r="G111" s="50" t="s">
        <v>1649</v>
      </c>
      <c r="H111" s="802" t="s">
        <v>2799</v>
      </c>
      <c r="I111" s="161" t="s">
        <v>1561</v>
      </c>
      <c r="J111" s="1674"/>
      <c r="K111" s="1675"/>
      <c r="L111" s="1676"/>
      <c r="M111" s="70"/>
      <c r="N111" s="565" t="s">
        <v>3821</v>
      </c>
      <c r="O111" s="801"/>
      <c r="P111" s="355"/>
    </row>
    <row r="112" spans="1:16" s="53" customFormat="1" ht="11.4" customHeight="1">
      <c r="A112" s="564" t="str">
        <f>IF($I$93="Local Redevelopment Plan", "X","")</f>
        <v/>
      </c>
      <c r="B112" s="565" t="s">
        <v>1884</v>
      </c>
      <c r="C112" s="153" t="s">
        <v>916</v>
      </c>
      <c r="D112" s="139"/>
      <c r="E112" s="50"/>
      <c r="F112" s="589"/>
      <c r="G112" s="50" t="s">
        <v>636</v>
      </c>
      <c r="H112" s="1673"/>
      <c r="I112" s="1052"/>
      <c r="J112" s="1052"/>
      <c r="K112" s="1052"/>
      <c r="L112" s="1053"/>
      <c r="M112" s="70"/>
      <c r="N112" s="565" t="s">
        <v>1884</v>
      </c>
      <c r="O112" s="801"/>
      <c r="P112" s="355"/>
    </row>
    <row r="113" spans="1:16" ht="11.4" customHeight="1">
      <c r="B113" s="566" t="s">
        <v>3680</v>
      </c>
      <c r="C113" s="50" t="s">
        <v>920</v>
      </c>
      <c r="D113" s="137"/>
      <c r="G113" s="137" t="s">
        <v>918</v>
      </c>
      <c r="H113" s="803"/>
      <c r="M113" s="589" t="str">
        <f>IF(AND($I$93="Local Redevelopment Plan",O113=""), "X","")</f>
        <v/>
      </c>
      <c r="N113" s="566" t="s">
        <v>3680</v>
      </c>
      <c r="O113" s="800"/>
      <c r="P113" s="354"/>
    </row>
    <row r="114" spans="1:16" ht="10.95" customHeight="1">
      <c r="B114" s="566" t="s">
        <v>3681</v>
      </c>
      <c r="C114" s="567" t="s">
        <v>3709</v>
      </c>
      <c r="D114" s="137"/>
      <c r="M114" s="589"/>
      <c r="N114" s="566" t="s">
        <v>3681</v>
      </c>
      <c r="O114" s="804"/>
      <c r="P114" s="617"/>
    </row>
    <row r="115" spans="1:16" ht="10.95" customHeight="1">
      <c r="B115" s="566" t="s">
        <v>3682</v>
      </c>
      <c r="C115" s="567" t="s">
        <v>3710</v>
      </c>
      <c r="M115" s="589" t="str">
        <f t="shared" ref="M115:M124" si="0">IF(AND($I$93="Local Redevelopment Plan",O115=""), "X","")</f>
        <v/>
      </c>
      <c r="N115" s="566" t="s">
        <v>3682</v>
      </c>
      <c r="O115" s="797"/>
      <c r="P115" s="551"/>
    </row>
    <row r="116" spans="1:16" ht="10.95" customHeight="1">
      <c r="B116" s="566" t="s">
        <v>3683</v>
      </c>
      <c r="C116" s="567" t="s">
        <v>3711</v>
      </c>
      <c r="M116" s="589" t="str">
        <f t="shared" si="0"/>
        <v/>
      </c>
      <c r="N116" s="566" t="s">
        <v>3683</v>
      </c>
      <c r="O116" s="797"/>
      <c r="P116" s="551"/>
    </row>
    <row r="117" spans="1:16" ht="10.95" customHeight="1">
      <c r="B117" s="566" t="s">
        <v>3684</v>
      </c>
      <c r="C117" s="72" t="s">
        <v>3712</v>
      </c>
      <c r="M117" s="589" t="str">
        <f t="shared" si="0"/>
        <v/>
      </c>
      <c r="N117" s="566" t="s">
        <v>3684</v>
      </c>
      <c r="O117" s="797"/>
      <c r="P117" s="551"/>
    </row>
    <row r="118" spans="1:16" ht="10.95" customHeight="1">
      <c r="B118" s="566" t="s">
        <v>3707</v>
      </c>
      <c r="C118" s="567" t="s">
        <v>3713</v>
      </c>
      <c r="D118" s="137"/>
      <c r="M118" s="589" t="str">
        <f t="shared" si="0"/>
        <v/>
      </c>
      <c r="N118" s="566" t="s">
        <v>3707</v>
      </c>
      <c r="O118" s="797"/>
      <c r="P118" s="551"/>
    </row>
    <row r="119" spans="1:16" ht="10.95" customHeight="1">
      <c r="B119" s="566" t="s">
        <v>3708</v>
      </c>
      <c r="C119" s="567" t="s">
        <v>3714</v>
      </c>
      <c r="M119" s="589" t="str">
        <f t="shared" si="0"/>
        <v/>
      </c>
      <c r="N119" s="566" t="s">
        <v>3708</v>
      </c>
      <c r="O119" s="801"/>
      <c r="P119" s="355"/>
    </row>
    <row r="120" spans="1:16" ht="11.4" customHeight="1">
      <c r="A120" s="564" t="str">
        <f>IF($I$93="Stable Communities &lt; 20%", "X","")</f>
        <v>X</v>
      </c>
      <c r="B120" s="584" t="s">
        <v>3718</v>
      </c>
      <c r="E120" s="159"/>
      <c r="M120" s="591"/>
      <c r="N120" s="31"/>
      <c r="O120" s="161" t="s">
        <v>3793</v>
      </c>
      <c r="P120" s="161" t="s">
        <v>3793</v>
      </c>
    </row>
    <row r="121" spans="1:16" ht="10.95" customHeight="1">
      <c r="B121" s="566" t="s">
        <v>3715</v>
      </c>
      <c r="C121" s="567" t="s">
        <v>3719</v>
      </c>
      <c r="M121" s="589" t="str">
        <f t="shared" si="0"/>
        <v/>
      </c>
      <c r="N121" s="566" t="s">
        <v>3715</v>
      </c>
      <c r="O121" s="800"/>
      <c r="P121" s="354"/>
    </row>
    <row r="122" spans="1:16" ht="10.95" customHeight="1">
      <c r="B122" s="566" t="s">
        <v>3716</v>
      </c>
      <c r="C122" s="72" t="s">
        <v>3720</v>
      </c>
      <c r="M122" s="589" t="str">
        <f t="shared" si="0"/>
        <v/>
      </c>
      <c r="N122" s="566" t="s">
        <v>3716</v>
      </c>
      <c r="O122" s="797"/>
      <c r="P122" s="551"/>
    </row>
    <row r="123" spans="1:16" ht="10.95" customHeight="1">
      <c r="B123" s="566" t="s">
        <v>3717</v>
      </c>
      <c r="C123" s="567" t="s">
        <v>3721</v>
      </c>
      <c r="M123" s="589" t="str">
        <f t="shared" si="0"/>
        <v/>
      </c>
      <c r="N123" s="566" t="s">
        <v>3717</v>
      </c>
      <c r="O123" s="797"/>
      <c r="P123" s="551"/>
    </row>
    <row r="124" spans="1:16" ht="10.95" customHeight="1">
      <c r="B124" s="566" t="s">
        <v>917</v>
      </c>
      <c r="C124" s="72" t="s">
        <v>3722</v>
      </c>
      <c r="M124" s="589" t="str">
        <f t="shared" si="0"/>
        <v/>
      </c>
      <c r="N124" s="566" t="s">
        <v>917</v>
      </c>
      <c r="O124" s="801"/>
      <c r="P124" s="355"/>
    </row>
    <row r="125" spans="1:16" s="53" customFormat="1" ht="13.95" customHeight="1">
      <c r="A125" s="52"/>
      <c r="B125" s="59" t="s">
        <v>333</v>
      </c>
      <c r="C125" s="52"/>
      <c r="D125" s="58"/>
      <c r="E125" s="58"/>
      <c r="F125" s="58"/>
      <c r="G125" s="58"/>
      <c r="H125" s="46"/>
      <c r="I125" s="46"/>
      <c r="J125" s="46"/>
      <c r="K125" s="46"/>
      <c r="M125" s="56"/>
      <c r="N125" s="77"/>
      <c r="O125" s="4"/>
      <c r="P125" s="33"/>
    </row>
    <row r="126" spans="1:16" s="53" customFormat="1" ht="23.4" customHeight="1">
      <c r="A126" s="1679"/>
      <c r="B126" s="1680"/>
      <c r="C126" s="1680"/>
      <c r="D126" s="1680"/>
      <c r="E126" s="1680"/>
      <c r="F126" s="1680"/>
      <c r="G126" s="1680"/>
      <c r="H126" s="1680"/>
      <c r="I126" s="1680"/>
      <c r="J126" s="1680"/>
      <c r="K126" s="1680"/>
      <c r="L126" s="1680"/>
      <c r="M126" s="1680"/>
      <c r="N126" s="1680"/>
      <c r="O126" s="1680"/>
      <c r="P126" s="1681"/>
    </row>
    <row r="127" spans="1:16" s="53" customFormat="1" ht="23.4" customHeight="1">
      <c r="A127" s="1637"/>
      <c r="B127" s="1638"/>
      <c r="C127" s="1638"/>
      <c r="D127" s="1638"/>
      <c r="E127" s="1638"/>
      <c r="F127" s="1638"/>
      <c r="G127" s="1638"/>
      <c r="H127" s="1638"/>
      <c r="I127" s="1638"/>
      <c r="J127" s="1638"/>
      <c r="K127" s="1638"/>
      <c r="L127" s="1638"/>
      <c r="M127" s="1638"/>
      <c r="N127" s="1638"/>
      <c r="O127" s="1638"/>
      <c r="P127" s="1639"/>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 customHeight="1">
      <c r="A129" s="1652"/>
      <c r="B129" s="1671"/>
      <c r="C129" s="1671"/>
      <c r="D129" s="1671"/>
      <c r="E129" s="1671"/>
      <c r="F129" s="1671"/>
      <c r="G129" s="1671"/>
      <c r="H129" s="1671"/>
      <c r="I129" s="1671"/>
      <c r="J129" s="1671"/>
      <c r="K129" s="1671"/>
      <c r="L129" s="1671"/>
      <c r="M129" s="1671"/>
      <c r="N129" s="1671"/>
      <c r="O129" s="1671"/>
      <c r="P129" s="1672"/>
    </row>
    <row r="130" spans="1:17" s="53" customFormat="1" ht="23.4" customHeight="1">
      <c r="A130" s="1649"/>
      <c r="B130" s="1677"/>
      <c r="C130" s="1677"/>
      <c r="D130" s="1677"/>
      <c r="E130" s="1677"/>
      <c r="F130" s="1677"/>
      <c r="G130" s="1677"/>
      <c r="H130" s="1677"/>
      <c r="I130" s="1677"/>
      <c r="J130" s="1677"/>
      <c r="K130" s="1677"/>
      <c r="L130" s="1677"/>
      <c r="M130" s="1677"/>
      <c r="N130" s="1677"/>
      <c r="O130" s="1677"/>
      <c r="P130" s="1678"/>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8"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805"/>
      <c r="P133" s="696"/>
    </row>
    <row r="134" spans="1:17" s="137" customFormat="1" ht="22.95" customHeight="1">
      <c r="B134" s="596" t="s">
        <v>3062</v>
      </c>
      <c r="C134" s="1658" t="s">
        <v>1563</v>
      </c>
      <c r="D134" s="1539"/>
      <c r="E134" s="1539"/>
      <c r="F134" s="1539"/>
      <c r="G134" s="1539"/>
      <c r="H134" s="1539"/>
      <c r="I134" s="1539"/>
      <c r="J134" s="1539"/>
      <c r="K134" s="1539"/>
      <c r="L134" s="1539"/>
      <c r="M134" s="695"/>
      <c r="N134" s="596" t="s">
        <v>3062</v>
      </c>
      <c r="O134" s="796"/>
      <c r="P134" s="234"/>
    </row>
    <row r="135" spans="1:17" s="137" customFormat="1" ht="11.4" customHeight="1">
      <c r="B135" s="252"/>
      <c r="C135" s="160" t="s">
        <v>1564</v>
      </c>
      <c r="H135" s="137" t="s">
        <v>1562</v>
      </c>
      <c r="I135" s="806"/>
      <c r="J135" s="137" t="s">
        <v>950</v>
      </c>
      <c r="K135" s="1695"/>
      <c r="L135" s="1696"/>
      <c r="M135" s="1697"/>
    </row>
    <row r="136" spans="1:17" s="137" customFormat="1" ht="11.4" customHeight="1">
      <c r="B136" s="252" t="s">
        <v>3064</v>
      </c>
      <c r="C136" s="160" t="s">
        <v>1565</v>
      </c>
      <c r="M136" s="8"/>
      <c r="N136" s="252" t="s">
        <v>3064</v>
      </c>
      <c r="O136" s="800"/>
      <c r="P136" s="354"/>
    </row>
    <row r="137" spans="1:17" s="137" customFormat="1" ht="11.4" customHeight="1">
      <c r="B137" s="252" t="s">
        <v>3821</v>
      </c>
      <c r="C137" s="160" t="s">
        <v>1566</v>
      </c>
      <c r="M137" s="8"/>
      <c r="N137" s="252" t="s">
        <v>3821</v>
      </c>
      <c r="O137" s="797"/>
      <c r="P137" s="551"/>
    </row>
    <row r="138" spans="1:17" s="137" customFormat="1" ht="11.4" customHeight="1">
      <c r="B138" s="252" t="s">
        <v>1884</v>
      </c>
      <c r="C138" s="160" t="s">
        <v>1567</v>
      </c>
      <c r="M138" s="8"/>
      <c r="N138" s="252" t="s">
        <v>1884</v>
      </c>
      <c r="O138" s="801"/>
      <c r="P138" s="355"/>
    </row>
    <row r="139" spans="1:17" ht="12" customHeight="1">
      <c r="A139" s="256" t="s">
        <v>2054</v>
      </c>
      <c r="B139" s="738"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733</v>
      </c>
      <c r="M140" s="796">
        <v>4</v>
      </c>
      <c r="N140" s="183" t="s">
        <v>734</v>
      </c>
      <c r="O140" s="139"/>
      <c r="P140" s="139"/>
    </row>
    <row r="141" spans="1:17" s="53" customFormat="1" ht="11.4" customHeight="1">
      <c r="A141" s="52"/>
      <c r="B141" s="59" t="s">
        <v>333</v>
      </c>
      <c r="C141" s="52"/>
      <c r="D141" s="58"/>
      <c r="E141" s="58"/>
      <c r="F141" s="58"/>
      <c r="G141" s="58"/>
      <c r="H141" s="46"/>
      <c r="I141" s="46"/>
      <c r="J141" s="46"/>
      <c r="K141" s="46"/>
      <c r="M141" s="56"/>
      <c r="N141" s="77"/>
      <c r="O141" s="4"/>
      <c r="P141" s="33"/>
    </row>
    <row r="142" spans="1:17" s="53" customFormat="1" ht="11.4" customHeight="1">
      <c r="A142" s="1530"/>
      <c r="B142" s="1531"/>
      <c r="C142" s="1531"/>
      <c r="D142" s="1531"/>
      <c r="E142" s="1531"/>
      <c r="F142" s="1531"/>
      <c r="G142" s="1531"/>
      <c r="H142" s="1531"/>
      <c r="I142" s="1531"/>
      <c r="J142" s="1531"/>
      <c r="K142" s="1531"/>
      <c r="L142" s="1531"/>
      <c r="M142" s="1531"/>
      <c r="N142" s="1531"/>
      <c r="O142" s="1531"/>
      <c r="P142" s="1532"/>
    </row>
    <row r="143" spans="1:17" s="53" customFormat="1" ht="11.4" customHeight="1">
      <c r="B143" s="117" t="s">
        <v>2920</v>
      </c>
      <c r="C143" s="135"/>
      <c r="D143" s="117"/>
      <c r="E143" s="136"/>
      <c r="F143" s="740"/>
      <c r="G143" s="740"/>
      <c r="H143" s="740"/>
      <c r="I143" s="740"/>
      <c r="J143" s="740"/>
      <c r="K143" s="740"/>
      <c r="L143" s="740"/>
      <c r="M143" s="740"/>
      <c r="N143" s="94"/>
      <c r="O143" s="90"/>
      <c r="P143" s="3"/>
    </row>
    <row r="144" spans="1:17" s="53" customFormat="1" ht="11.4" customHeight="1">
      <c r="A144" s="1573"/>
      <c r="B144" s="1574"/>
      <c r="C144" s="1574"/>
      <c r="D144" s="1574"/>
      <c r="E144" s="1574"/>
      <c r="F144" s="1574"/>
      <c r="G144" s="1574"/>
      <c r="H144" s="1574"/>
      <c r="I144" s="1574"/>
      <c r="J144" s="1574"/>
      <c r="K144" s="1574"/>
      <c r="L144" s="1574"/>
      <c r="M144" s="1574"/>
      <c r="N144" s="1574"/>
      <c r="O144" s="1574"/>
      <c r="P144" s="1575"/>
    </row>
    <row r="145" spans="1:17" ht="8.4"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795">
        <v>2</v>
      </c>
      <c r="P146" s="89"/>
      <c r="Q146" s="146" t="s">
        <v>651</v>
      </c>
    </row>
    <row r="147" spans="1:17" ht="11.4" customHeight="1">
      <c r="B147" s="235" t="s">
        <v>2665</v>
      </c>
      <c r="E147" s="159"/>
      <c r="M147" s="591"/>
      <c r="N147" s="31"/>
      <c r="O147" s="31"/>
      <c r="P147" s="161" t="s">
        <v>3793</v>
      </c>
    </row>
    <row r="148" spans="1:17" ht="11.4" customHeight="1">
      <c r="A148" s="566" t="s">
        <v>3680</v>
      </c>
      <c r="B148" s="567" t="s">
        <v>3725</v>
      </c>
      <c r="D148" s="137"/>
      <c r="M148" s="589"/>
      <c r="N148" s="566"/>
      <c r="O148" s="566" t="s">
        <v>3680</v>
      </c>
      <c r="P148" s="354"/>
    </row>
    <row r="149" spans="1:17" ht="23.4" customHeight="1">
      <c r="A149" s="593" t="s">
        <v>3681</v>
      </c>
      <c r="B149" s="1646" t="s">
        <v>3726</v>
      </c>
      <c r="C149" s="1539"/>
      <c r="D149" s="1539"/>
      <c r="E149" s="1539"/>
      <c r="F149" s="1539"/>
      <c r="G149" s="1539"/>
      <c r="H149" s="1539"/>
      <c r="I149" s="1539"/>
      <c r="J149" s="1539"/>
      <c r="K149" s="1539"/>
      <c r="L149" s="1539"/>
      <c r="M149" s="1539"/>
      <c r="N149" s="1539"/>
      <c r="O149" s="566" t="s">
        <v>3681</v>
      </c>
      <c r="P149" s="551"/>
    </row>
    <row r="150" spans="1:17" ht="11.4" customHeight="1">
      <c r="A150" s="566" t="s">
        <v>3682</v>
      </c>
      <c r="B150" s="567" t="s">
        <v>3727</v>
      </c>
      <c r="M150" s="589"/>
      <c r="N150" s="566"/>
      <c r="O150" s="566" t="s">
        <v>3682</v>
      </c>
      <c r="P150" s="551"/>
    </row>
    <row r="151" spans="1:17" ht="11.4" customHeight="1">
      <c r="A151" s="566" t="s">
        <v>3683</v>
      </c>
      <c r="B151" s="72" t="s">
        <v>3338</v>
      </c>
      <c r="M151" s="589"/>
      <c r="N151" s="566"/>
      <c r="O151" s="566" t="s">
        <v>3683</v>
      </c>
      <c r="P151" s="551"/>
    </row>
    <row r="152" spans="1:17" ht="23.4" customHeight="1">
      <c r="A152" s="593" t="s">
        <v>3684</v>
      </c>
      <c r="B152" s="1646" t="s">
        <v>3339</v>
      </c>
      <c r="C152" s="1539"/>
      <c r="D152" s="1539"/>
      <c r="E152" s="1539"/>
      <c r="F152" s="1539"/>
      <c r="G152" s="1539"/>
      <c r="H152" s="1539"/>
      <c r="I152" s="1539"/>
      <c r="J152" s="1539"/>
      <c r="K152" s="1539"/>
      <c r="L152" s="1539"/>
      <c r="M152" s="1539"/>
      <c r="N152" s="1539"/>
      <c r="O152" s="566" t="s">
        <v>3684</v>
      </c>
      <c r="P152" s="551"/>
    </row>
    <row r="153" spans="1:17" ht="11.4" customHeight="1">
      <c r="A153" s="566" t="s">
        <v>3707</v>
      </c>
      <c r="B153" s="567" t="s">
        <v>3340</v>
      </c>
      <c r="M153" s="589"/>
      <c r="N153" s="566"/>
      <c r="O153" s="566" t="s">
        <v>3707</v>
      </c>
      <c r="P153" s="551"/>
    </row>
    <row r="154" spans="1:17" ht="11.4" customHeight="1">
      <c r="A154" s="566" t="s">
        <v>3708</v>
      </c>
      <c r="B154" s="567" t="s">
        <v>2666</v>
      </c>
      <c r="M154" s="589"/>
      <c r="N154" s="566"/>
      <c r="O154" s="566" t="s">
        <v>3708</v>
      </c>
      <c r="P154" s="551"/>
    </row>
    <row r="155" spans="1:17" ht="11.4" customHeight="1">
      <c r="A155" s="566" t="s">
        <v>3715</v>
      </c>
      <c r="B155" s="72" t="s">
        <v>2667</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524"/>
      <c r="B157" s="1525"/>
      <c r="C157" s="1525"/>
      <c r="D157" s="1525"/>
      <c r="E157" s="1525"/>
      <c r="F157" s="1525"/>
      <c r="G157" s="1525"/>
      <c r="H157" s="1525"/>
      <c r="I157" s="1525"/>
      <c r="J157" s="1525"/>
      <c r="K157" s="1525"/>
      <c r="L157" s="1525"/>
      <c r="M157" s="1525"/>
      <c r="N157" s="1525"/>
      <c r="O157" s="1525"/>
      <c r="P157" s="1526"/>
    </row>
    <row r="158" spans="1:17" s="53" customFormat="1" ht="24.6" customHeight="1">
      <c r="A158" s="1518"/>
      <c r="B158" s="1519"/>
      <c r="C158" s="1519"/>
      <c r="D158" s="1519"/>
      <c r="E158" s="1519"/>
      <c r="F158" s="1519"/>
      <c r="G158" s="1519"/>
      <c r="H158" s="1519"/>
      <c r="I158" s="1519"/>
      <c r="J158" s="1519"/>
      <c r="K158" s="1519"/>
      <c r="L158" s="1519"/>
      <c r="M158" s="1519"/>
      <c r="N158" s="1519"/>
      <c r="O158" s="1519"/>
      <c r="P158" s="1520"/>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1515"/>
      <c r="B160" s="1516"/>
      <c r="C160" s="1516"/>
      <c r="D160" s="1516"/>
      <c r="E160" s="1516"/>
      <c r="F160" s="1516"/>
      <c r="G160" s="1516"/>
      <c r="H160" s="1516"/>
      <c r="I160" s="1516"/>
      <c r="J160" s="1516"/>
      <c r="K160" s="1516"/>
      <c r="L160" s="1516"/>
      <c r="M160" s="1516"/>
      <c r="N160" s="1516"/>
      <c r="O160" s="1516"/>
      <c r="P160" s="1517"/>
    </row>
    <row r="161" spans="1:18" s="53" customFormat="1" ht="24" customHeight="1">
      <c r="A161" s="1547"/>
      <c r="B161" s="1548"/>
      <c r="C161" s="1548"/>
      <c r="D161" s="1548"/>
      <c r="E161" s="1548"/>
      <c r="F161" s="1548"/>
      <c r="G161" s="1548"/>
      <c r="H161" s="1548"/>
      <c r="I161" s="1548"/>
      <c r="J161" s="1548"/>
      <c r="K161" s="1548"/>
      <c r="L161" s="1548"/>
      <c r="M161" s="1548"/>
      <c r="N161" s="1548"/>
      <c r="O161" s="1548"/>
      <c r="P161" s="1549"/>
    </row>
    <row r="162" spans="1:18" s="53" customFormat="1" ht="24" customHeight="1">
      <c r="A162" s="1547"/>
      <c r="B162" s="1548"/>
      <c r="C162" s="1548"/>
      <c r="D162" s="1548"/>
      <c r="E162" s="1548"/>
      <c r="F162" s="1548"/>
      <c r="G162" s="1548"/>
      <c r="H162" s="1548"/>
      <c r="I162" s="1548"/>
      <c r="J162" s="1548"/>
      <c r="K162" s="1548"/>
      <c r="L162" s="1548"/>
      <c r="M162" s="1548"/>
      <c r="N162" s="1548"/>
      <c r="O162" s="1548"/>
      <c r="P162" s="1549"/>
    </row>
    <row r="163" spans="1:18" s="53" customFormat="1" ht="24" customHeight="1">
      <c r="A163" s="1547"/>
      <c r="B163" s="1548"/>
      <c r="C163" s="1548"/>
      <c r="D163" s="1548"/>
      <c r="E163" s="1548"/>
      <c r="F163" s="1548"/>
      <c r="G163" s="1548"/>
      <c r="H163" s="1548"/>
      <c r="I163" s="1548"/>
      <c r="J163" s="1548"/>
      <c r="K163" s="1548"/>
      <c r="L163" s="1548"/>
      <c r="M163" s="1548"/>
      <c r="N163" s="1548"/>
      <c r="O163" s="1548"/>
      <c r="P163" s="1549"/>
    </row>
    <row r="164" spans="1:18" s="53" customFormat="1" ht="24" customHeight="1">
      <c r="A164" s="1533"/>
      <c r="B164" s="1534"/>
      <c r="C164" s="1534"/>
      <c r="D164" s="1534"/>
      <c r="E164" s="1534"/>
      <c r="F164" s="1534"/>
      <c r="G164" s="1534"/>
      <c r="H164" s="1534"/>
      <c r="I164" s="1534"/>
      <c r="J164" s="1534"/>
      <c r="K164" s="1534"/>
      <c r="L164" s="1534"/>
      <c r="M164" s="1534"/>
      <c r="N164" s="1534"/>
      <c r="O164" s="1534"/>
      <c r="P164" s="1535"/>
    </row>
    <row r="165" spans="1:18" ht="5.4"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3058</v>
      </c>
      <c r="C167" s="238" t="s">
        <v>3359</v>
      </c>
      <c r="D167" s="76"/>
      <c r="E167" s="76"/>
      <c r="G167" s="31"/>
      <c r="K167" s="62" t="s">
        <v>2214</v>
      </c>
      <c r="L167" s="796" t="s">
        <v>3918</v>
      </c>
      <c r="M167" s="8">
        <v>1</v>
      </c>
      <c r="N167" s="62" t="s">
        <v>3058</v>
      </c>
      <c r="O167" s="795">
        <v>1</v>
      </c>
      <c r="P167" s="89"/>
      <c r="Q167" s="146"/>
      <c r="R167" s="573" t="str">
        <f>IF(OR($O167=$M167,$O167=0,$O167=""),"","* * Check Score! * *")</f>
        <v/>
      </c>
    </row>
    <row r="168" spans="1:18" s="53" customFormat="1" ht="12" customHeight="1">
      <c r="B168" s="738" t="s">
        <v>3061</v>
      </c>
      <c r="C168" s="238" t="s">
        <v>3360</v>
      </c>
      <c r="D168" s="72"/>
      <c r="E168" s="40"/>
      <c r="F168" s="72"/>
      <c r="K168" s="65"/>
      <c r="L168" s="573" t="str">
        <f>IF(OR($O168=$M168,$O168=0,$O168=""),"","* * Check Score! * *")</f>
        <v/>
      </c>
      <c r="M168" s="8">
        <v>1</v>
      </c>
      <c r="N168" s="62" t="s">
        <v>3061</v>
      </c>
      <c r="O168" s="795"/>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530"/>
      <c r="B170" s="1531"/>
      <c r="C170" s="1531"/>
      <c r="D170" s="1531"/>
      <c r="E170" s="1531"/>
      <c r="F170" s="1531"/>
      <c r="G170" s="1531"/>
      <c r="H170" s="1531"/>
      <c r="I170" s="1531"/>
      <c r="J170" s="1531"/>
      <c r="K170" s="1531"/>
      <c r="L170" s="1531"/>
      <c r="M170" s="1531"/>
      <c r="N170" s="1531"/>
      <c r="O170" s="1531"/>
      <c r="P170" s="1532"/>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1515"/>
      <c r="B172" s="1516"/>
      <c r="C172" s="1516"/>
      <c r="D172" s="1516"/>
      <c r="E172" s="1516"/>
      <c r="F172" s="1516"/>
      <c r="G172" s="1516"/>
      <c r="H172" s="1516"/>
      <c r="I172" s="1516"/>
      <c r="J172" s="1516"/>
      <c r="K172" s="1516"/>
      <c r="L172" s="1516"/>
      <c r="M172" s="1516"/>
      <c r="N172" s="1516"/>
      <c r="O172" s="1516"/>
      <c r="P172" s="1517"/>
    </row>
    <row r="173" spans="1:18" s="53" customFormat="1" ht="12.6" customHeight="1">
      <c r="A173" s="1533"/>
      <c r="B173" s="1534"/>
      <c r="C173" s="1534"/>
      <c r="D173" s="1534"/>
      <c r="E173" s="1534"/>
      <c r="F173" s="1534"/>
      <c r="G173" s="1534"/>
      <c r="H173" s="1534"/>
      <c r="I173" s="1534"/>
      <c r="J173" s="1534"/>
      <c r="K173" s="1534"/>
      <c r="L173" s="1534"/>
      <c r="M173" s="1534"/>
      <c r="N173" s="1534"/>
      <c r="O173" s="1534"/>
      <c r="P173" s="1535"/>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8"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8"/>
      <c r="C177" s="1659" t="s">
        <v>190</v>
      </c>
      <c r="D177" s="1341"/>
      <c r="E177" s="1341"/>
      <c r="F177" s="1341"/>
      <c r="G177" s="1341"/>
      <c r="H177" s="1341"/>
      <c r="I177" s="1341"/>
      <c r="J177" s="1341"/>
      <c r="K177" s="1341"/>
      <c r="L177" s="1341"/>
      <c r="M177" s="3"/>
      <c r="N177" s="83"/>
      <c r="O177" s="795"/>
      <c r="P177" s="89"/>
      <c r="Q177" s="146"/>
    </row>
    <row r="178" spans="1:18" s="692" customFormat="1" ht="35.4" customHeight="1">
      <c r="A178" s="691" t="str">
        <f>IF($I$93="HOPE VI Initiative", "X","")</f>
        <v/>
      </c>
      <c r="B178" s="693" t="s">
        <v>3062</v>
      </c>
      <c r="C178" s="1659" t="s">
        <v>189</v>
      </c>
      <c r="D178" s="1659"/>
      <c r="E178" s="1659"/>
      <c r="F178" s="1659"/>
      <c r="G178" s="1659"/>
      <c r="H178" s="1659"/>
      <c r="I178" s="1659"/>
      <c r="J178" s="1659"/>
      <c r="K178" s="1659"/>
      <c r="L178" s="1659"/>
      <c r="M178" s="694">
        <v>3</v>
      </c>
    </row>
    <row r="179" spans="1:18" s="692" customFormat="1" ht="26.4" customHeight="1">
      <c r="A179" s="691" t="str">
        <f>IF($I$93="HOPE VI Initiative", "X","")</f>
        <v/>
      </c>
      <c r="B179" s="693" t="s">
        <v>3064</v>
      </c>
      <c r="C179" s="1659" t="s">
        <v>2900</v>
      </c>
      <c r="D179" s="1659"/>
      <c r="E179" s="1659"/>
      <c r="F179" s="1659"/>
      <c r="G179" s="1659"/>
      <c r="H179" s="1659"/>
      <c r="I179" s="1659"/>
      <c r="J179" s="1659"/>
      <c r="K179" s="1659"/>
      <c r="L179" s="1659"/>
      <c r="M179" s="694">
        <v>1</v>
      </c>
    </row>
    <row r="180" spans="1:18" ht="12" customHeight="1">
      <c r="B180" s="738" t="s">
        <v>3061</v>
      </c>
      <c r="C180" s="238" t="s">
        <v>2668</v>
      </c>
      <c r="D180" s="42"/>
      <c r="E180" s="42"/>
      <c r="F180" s="42"/>
      <c r="G180" s="157"/>
      <c r="H180" s="42"/>
      <c r="I180" s="42"/>
      <c r="J180" s="42"/>
      <c r="K180" s="42"/>
      <c r="L180" s="42"/>
      <c r="M180" s="1">
        <v>6</v>
      </c>
      <c r="N180" s="62" t="s">
        <v>3061</v>
      </c>
      <c r="O180" s="128">
        <f>IF((O181+O182+O183)=7,5,MIN($M180,(O181+O182+O183)))</f>
        <v>6</v>
      </c>
      <c r="P180" s="128">
        <f>IF((P181+P182+P183)=7,5,MIN($M180,(P181+P182+P183)))</f>
        <v>0</v>
      </c>
      <c r="R180" s="573" t="str">
        <f>IF(OR($O180=$M180,$O180=0,$O180=""),"","* * Check Score! * *")</f>
        <v/>
      </c>
    </row>
    <row r="181" spans="1:18" s="137" customFormat="1" ht="11.4" customHeight="1">
      <c r="B181" s="252" t="s">
        <v>3062</v>
      </c>
      <c r="C181" s="160" t="s">
        <v>2670</v>
      </c>
      <c r="L181" s="573"/>
      <c r="M181" s="8">
        <v>6</v>
      </c>
      <c r="N181" s="252" t="s">
        <v>3062</v>
      </c>
      <c r="O181" s="795">
        <v>6</v>
      </c>
      <c r="P181" s="89"/>
    </row>
    <row r="182" spans="1:18" s="137" customFormat="1" ht="11.4" customHeight="1">
      <c r="B182" s="252" t="s">
        <v>3064</v>
      </c>
      <c r="C182" s="160" t="s">
        <v>2671</v>
      </c>
      <c r="L182" s="573" t="str">
        <f>IF(OR($O182=$M182,$O182=0,$O182=""),"","* * Check Score! * *")</f>
        <v/>
      </c>
      <c r="M182" s="8">
        <v>2</v>
      </c>
      <c r="N182" s="252" t="s">
        <v>3064</v>
      </c>
      <c r="O182" s="795"/>
      <c r="P182" s="89"/>
    </row>
    <row r="183" spans="1:18" s="137" customFormat="1" ht="11.4" customHeight="1">
      <c r="B183" s="252" t="s">
        <v>3821</v>
      </c>
      <c r="C183" s="160" t="s">
        <v>2669</v>
      </c>
      <c r="L183" s="573" t="str">
        <f>IF(OR($O183=$M183,$O183=0,$O183=""),"","* * Check Score! * *")</f>
        <v/>
      </c>
      <c r="M183" s="8">
        <v>2</v>
      </c>
      <c r="N183" s="252" t="s">
        <v>3821</v>
      </c>
      <c r="O183" s="795"/>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2" customHeight="1">
      <c r="A185" s="1524"/>
      <c r="B185" s="1525"/>
      <c r="C185" s="1525"/>
      <c r="D185" s="1525"/>
      <c r="E185" s="1525"/>
      <c r="F185" s="1525"/>
      <c r="G185" s="1525"/>
      <c r="H185" s="1525"/>
      <c r="I185" s="1525"/>
      <c r="J185" s="1525"/>
      <c r="K185" s="1525"/>
      <c r="L185" s="1525"/>
      <c r="M185" s="1525"/>
      <c r="N185" s="1525"/>
      <c r="O185" s="1525"/>
      <c r="P185" s="1526"/>
    </row>
    <row r="186" spans="1:18" s="53" customFormat="1" ht="25.2" customHeight="1">
      <c r="A186" s="1518"/>
      <c r="B186" s="1519"/>
      <c r="C186" s="1519"/>
      <c r="D186" s="1519"/>
      <c r="E186" s="1519"/>
      <c r="F186" s="1519"/>
      <c r="G186" s="1519"/>
      <c r="H186" s="1519"/>
      <c r="I186" s="1519"/>
      <c r="J186" s="1519"/>
      <c r="K186" s="1519"/>
      <c r="L186" s="1519"/>
      <c r="M186" s="1519"/>
      <c r="N186" s="1519"/>
      <c r="O186" s="1519"/>
      <c r="P186" s="1520"/>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2" customHeight="1">
      <c r="A188" s="1515"/>
      <c r="B188" s="1516"/>
      <c r="C188" s="1516"/>
      <c r="D188" s="1516"/>
      <c r="E188" s="1516"/>
      <c r="F188" s="1516"/>
      <c r="G188" s="1516"/>
      <c r="H188" s="1516"/>
      <c r="I188" s="1516"/>
      <c r="J188" s="1516"/>
      <c r="K188" s="1516"/>
      <c r="L188" s="1516"/>
      <c r="M188" s="1516"/>
      <c r="N188" s="1516"/>
      <c r="O188" s="1516"/>
      <c r="P188" s="1517"/>
    </row>
    <row r="189" spans="1:18" s="53" customFormat="1" ht="25.2" customHeight="1">
      <c r="A189" s="1533"/>
      <c r="B189" s="1534"/>
      <c r="C189" s="1534"/>
      <c r="D189" s="1534"/>
      <c r="E189" s="1534"/>
      <c r="F189" s="1534"/>
      <c r="G189" s="1534"/>
      <c r="H189" s="1534"/>
      <c r="I189" s="1534"/>
      <c r="J189" s="1534"/>
      <c r="K189" s="1534"/>
      <c r="L189" s="1534"/>
      <c r="M189" s="1534"/>
      <c r="N189" s="1534"/>
      <c r="O189" s="1534"/>
      <c r="P189" s="1535"/>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4.4">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921</v>
      </c>
      <c r="D192" s="42"/>
      <c r="E192" s="42"/>
      <c r="F192" s="42"/>
      <c r="L192" s="573" t="str">
        <f>IF(OR($O192=$M192,$O192=0,$O192=""),"","* * Check Score! * *")</f>
        <v/>
      </c>
      <c r="M192" s="7">
        <v>3</v>
      </c>
      <c r="N192" s="62" t="s">
        <v>3058</v>
      </c>
      <c r="O192" s="795"/>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795"/>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2" customHeight="1">
      <c r="A195" s="1530" t="s">
        <v>4013</v>
      </c>
      <c r="B195" s="1531"/>
      <c r="C195" s="1531"/>
      <c r="D195" s="1531"/>
      <c r="E195" s="1531"/>
      <c r="F195" s="1531"/>
      <c r="G195" s="1531"/>
      <c r="H195" s="1531"/>
      <c r="I195" s="1531"/>
      <c r="J195" s="1531"/>
      <c r="K195" s="1531"/>
      <c r="L195" s="1531"/>
      <c r="M195" s="1531"/>
      <c r="N195" s="1531"/>
      <c r="O195" s="1531"/>
      <c r="P195" s="1532"/>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2" customHeight="1">
      <c r="A197" s="1573"/>
      <c r="B197" s="1574"/>
      <c r="C197" s="1574"/>
      <c r="D197" s="1574"/>
      <c r="E197" s="1574"/>
      <c r="F197" s="1574"/>
      <c r="G197" s="1574"/>
      <c r="H197" s="1574"/>
      <c r="I197" s="1574"/>
      <c r="J197" s="1574"/>
      <c r="K197" s="1574"/>
      <c r="L197" s="1574"/>
      <c r="M197" s="1574"/>
      <c r="N197" s="1574"/>
      <c r="O197" s="1574"/>
      <c r="P197" s="1575"/>
    </row>
    <row r="198" spans="1:18" s="53" customFormat="1" ht="7.2" customHeight="1">
      <c r="A198" s="52"/>
      <c r="B198" s="52"/>
      <c r="C198" s="740"/>
      <c r="D198" s="740"/>
      <c r="E198" s="740"/>
      <c r="F198" s="740"/>
      <c r="G198" s="740"/>
      <c r="H198" s="740"/>
      <c r="I198" s="740"/>
      <c r="J198" s="740"/>
      <c r="K198" s="740"/>
      <c r="L198" s="740"/>
      <c r="M198" s="740"/>
      <c r="N198" s="94"/>
      <c r="O198" s="90"/>
      <c r="P198" s="1"/>
    </row>
    <row r="199" spans="1:18" s="53" customFormat="1" ht="14.4">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2673</v>
      </c>
      <c r="D200" s="42"/>
      <c r="E200" s="42"/>
      <c r="F200" s="42"/>
      <c r="L200" s="573" t="str">
        <f>IF(OR($O200=$M200,$O200=0,$O200=""),"","* * Check Score! * *")</f>
        <v/>
      </c>
      <c r="M200" s="7">
        <v>2</v>
      </c>
      <c r="N200" s="62" t="s">
        <v>3058</v>
      </c>
      <c r="O200" s="795">
        <v>2</v>
      </c>
      <c r="P200" s="89"/>
      <c r="Q200" s="146"/>
      <c r="R200" s="573" t="str">
        <f>IF(OR($O200=$M200,$O200=0,$O200=""),"","* * Check Score! * *")</f>
        <v/>
      </c>
    </row>
    <row r="201" spans="1:18" s="53" customFormat="1" ht="12" customHeight="1">
      <c r="A201" s="189" t="s">
        <v>3061</v>
      </c>
      <c r="B201" s="147" t="s">
        <v>2674</v>
      </c>
      <c r="D201" s="50"/>
      <c r="E201" s="50"/>
      <c r="F201" s="40"/>
      <c r="G201" s="139"/>
      <c r="H201" s="139"/>
      <c r="I201" s="139"/>
      <c r="J201" s="139"/>
      <c r="K201" s="139"/>
      <c r="L201" s="46"/>
      <c r="M201" s="7">
        <v>1</v>
      </c>
      <c r="N201" s="62" t="s">
        <v>3061</v>
      </c>
      <c r="O201" s="795"/>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2" customHeight="1">
      <c r="A203" s="1530" t="s">
        <v>4020</v>
      </c>
      <c r="B203" s="1531"/>
      <c r="C203" s="1531"/>
      <c r="D203" s="1531"/>
      <c r="E203" s="1531"/>
      <c r="F203" s="1531"/>
      <c r="G203" s="1531"/>
      <c r="H203" s="1531"/>
      <c r="I203" s="1531"/>
      <c r="J203" s="1531"/>
      <c r="K203" s="1531"/>
      <c r="L203" s="1531"/>
      <c r="M203" s="1531"/>
      <c r="N203" s="1531"/>
      <c r="O203" s="1531"/>
      <c r="P203" s="1532"/>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2" customHeight="1">
      <c r="A205" s="1573"/>
      <c r="B205" s="1574"/>
      <c r="C205" s="1574"/>
      <c r="D205" s="1574"/>
      <c r="E205" s="1574"/>
      <c r="F205" s="1574"/>
      <c r="G205" s="1574"/>
      <c r="H205" s="1574"/>
      <c r="I205" s="1574"/>
      <c r="J205" s="1574"/>
      <c r="K205" s="1574"/>
      <c r="L205" s="1574"/>
      <c r="M205" s="1574"/>
      <c r="N205" s="1574"/>
      <c r="O205" s="1574"/>
      <c r="P205" s="1575"/>
    </row>
    <row r="206" spans="1:18" ht="6.6" customHeight="1"/>
    <row r="207" spans="1:18" s="78" customFormat="1" ht="12.6" customHeight="1">
      <c r="A207" s="210" t="s">
        <v>2675</v>
      </c>
      <c r="B207" s="142" t="s">
        <v>1036</v>
      </c>
      <c r="G207" s="158"/>
      <c r="H207" s="158"/>
      <c r="I207" s="158"/>
      <c r="J207" s="263" t="s">
        <v>3640</v>
      </c>
      <c r="K207" s="158"/>
      <c r="L207" s="573" t="str">
        <f>IF(OR($O207=$M207,$O207=0,$O207=2,$O207=""),"","* * Check Score! * *")</f>
        <v/>
      </c>
      <c r="M207" s="3">
        <v>3</v>
      </c>
      <c r="N207" s="7"/>
      <c r="O207" s="81">
        <f>IF(OR(AND(J209=2,M209=3),AND(J209="",M209=3)),3,IF(AND(J209=3,M209=2),2,0))</f>
        <v>2</v>
      </c>
      <c r="P207" s="89"/>
      <c r="Q207" s="146" t="s">
        <v>651</v>
      </c>
      <c r="R207" s="31"/>
    </row>
    <row r="208" spans="1:18" s="78" customFormat="1" ht="25.2" customHeight="1">
      <c r="A208" s="210"/>
      <c r="B208" s="1667" t="s">
        <v>1570</v>
      </c>
      <c r="C208" s="913"/>
      <c r="D208" s="913"/>
      <c r="E208" s="913"/>
      <c r="F208" s="913"/>
      <c r="G208" s="913"/>
      <c r="H208" s="913"/>
      <c r="I208" s="913"/>
      <c r="J208" s="913"/>
      <c r="K208" s="913"/>
      <c r="L208" s="913"/>
      <c r="M208" s="913"/>
      <c r="N208" s="3"/>
      <c r="O208" s="3"/>
      <c r="P208" s="3"/>
      <c r="Q208" s="146"/>
      <c r="R208" s="573"/>
    </row>
    <row r="209" spans="1:18" s="690" customFormat="1" ht="12.6" customHeight="1">
      <c r="A209" s="699"/>
      <c r="C209" s="65" t="s">
        <v>950</v>
      </c>
      <c r="D209" s="1668" t="s">
        <v>4021</v>
      </c>
      <c r="E209" s="1669"/>
      <c r="F209" s="1669"/>
      <c r="G209" s="1670"/>
      <c r="I209" s="702" t="s">
        <v>1571</v>
      </c>
      <c r="J209" s="796">
        <v>3</v>
      </c>
      <c r="L209" s="702" t="s">
        <v>1572</v>
      </c>
      <c r="M209" s="796">
        <v>2</v>
      </c>
      <c r="N209" s="64"/>
      <c r="O209" s="64"/>
      <c r="P209" s="64"/>
      <c r="Q209" s="701"/>
      <c r="R209" s="700"/>
    </row>
    <row r="210" spans="1:18" s="53" customFormat="1" ht="13.95" customHeight="1">
      <c r="A210" s="52"/>
      <c r="B210" s="59" t="s">
        <v>333</v>
      </c>
      <c r="C210" s="52"/>
      <c r="D210" s="58"/>
      <c r="E210" s="58"/>
      <c r="F210" s="58"/>
      <c r="G210" s="58"/>
      <c r="H210" s="46"/>
      <c r="I210" s="46"/>
      <c r="J210" s="117" t="s">
        <v>2920</v>
      </c>
      <c r="M210" s="56"/>
      <c r="N210" s="77"/>
      <c r="O210" s="4"/>
      <c r="P210" s="33"/>
    </row>
    <row r="211" spans="1:18" s="53" customFormat="1" ht="25.2" customHeight="1">
      <c r="A211" s="1530"/>
      <c r="B211" s="1531"/>
      <c r="C211" s="1531"/>
      <c r="D211" s="1531"/>
      <c r="E211" s="1531"/>
      <c r="F211" s="1531"/>
      <c r="G211" s="1531"/>
      <c r="H211" s="1531"/>
      <c r="I211" s="1532"/>
      <c r="J211" s="1573"/>
      <c r="K211" s="1574"/>
      <c r="L211" s="1574"/>
      <c r="M211" s="1574"/>
      <c r="N211" s="1574"/>
      <c r="O211" s="1574"/>
      <c r="P211" s="1575"/>
    </row>
    <row r="212" spans="1:18" s="53" customFormat="1" ht="7.2" customHeight="1">
      <c r="A212" s="52"/>
      <c r="C212" s="740"/>
      <c r="D212" s="740"/>
      <c r="E212" s="740"/>
      <c r="F212" s="740"/>
      <c r="G212" s="740"/>
      <c r="H212" s="740"/>
      <c r="I212" s="740"/>
      <c r="J212" s="740"/>
      <c r="K212" s="740"/>
      <c r="L212" s="740"/>
      <c r="M212" s="740"/>
      <c r="N212" s="94"/>
      <c r="O212" s="90"/>
      <c r="P212" s="1"/>
    </row>
    <row r="213" spans="1:18" s="53" customFormat="1" ht="14.4">
      <c r="A213" s="210" t="s">
        <v>2677</v>
      </c>
      <c r="B213" s="152" t="s">
        <v>2676</v>
      </c>
      <c r="D213" s="120"/>
      <c r="E213" s="120"/>
      <c r="F213" s="65"/>
      <c r="G213" s="65"/>
      <c r="H213" s="65"/>
      <c r="I213" s="65"/>
      <c r="J213" s="67"/>
      <c r="K213" s="75"/>
      <c r="L213" s="573" t="str">
        <f>IF(OR($O213=$M213,$O213=0,$O213=""),"","* * Check Score! * *")</f>
        <v/>
      </c>
      <c r="M213" s="1">
        <v>1</v>
      </c>
      <c r="N213" s="62"/>
      <c r="O213" s="795"/>
      <c r="P213" s="89"/>
      <c r="Q213" s="146" t="s">
        <v>651</v>
      </c>
    </row>
    <row r="214" spans="1:18" s="53" customFormat="1" ht="12.6" customHeight="1">
      <c r="A214" s="52"/>
      <c r="B214" s="153" t="s">
        <v>2891</v>
      </c>
      <c r="D214" s="139"/>
      <c r="E214" s="1691" t="s">
        <v>2812</v>
      </c>
      <c r="F214" s="1692"/>
      <c r="G214" s="1693"/>
      <c r="H214" s="1694"/>
      <c r="I214" s="64" t="s">
        <v>2890</v>
      </c>
      <c r="O214" s="161" t="s">
        <v>3793</v>
      </c>
      <c r="P214" s="161" t="s">
        <v>3793</v>
      </c>
    </row>
    <row r="215" spans="1:18" s="137" customFormat="1" ht="11.4" customHeight="1">
      <c r="B215" s="566" t="s">
        <v>3680</v>
      </c>
      <c r="C215" s="160" t="s">
        <v>2678</v>
      </c>
      <c r="D215" s="160"/>
      <c r="E215" s="160"/>
      <c r="F215" s="160"/>
      <c r="G215" s="1688" t="s">
        <v>3807</v>
      </c>
      <c r="H215" s="1689"/>
      <c r="I215" s="1690"/>
      <c r="J215" s="1688" t="s">
        <v>1836</v>
      </c>
      <c r="K215" s="1689"/>
      <c r="L215" s="1690"/>
      <c r="N215" s="566" t="s">
        <v>3680</v>
      </c>
      <c r="O215" s="796"/>
      <c r="P215" s="234"/>
    </row>
    <row r="216" spans="1:18" s="137" customFormat="1" ht="11.4" customHeight="1">
      <c r="B216" s="566" t="s">
        <v>3681</v>
      </c>
      <c r="C216" s="160" t="s">
        <v>505</v>
      </c>
      <c r="D216" s="160"/>
      <c r="E216" s="160"/>
      <c r="F216" s="160"/>
      <c r="G216" s="160"/>
      <c r="L216" s="160"/>
      <c r="M216" s="160"/>
      <c r="N216" s="566" t="s">
        <v>3681</v>
      </c>
      <c r="O216" s="796"/>
      <c r="P216" s="234"/>
    </row>
    <row r="217" spans="1:18" s="137" customFormat="1" ht="11.4" customHeight="1">
      <c r="B217" s="566" t="s">
        <v>3682</v>
      </c>
      <c r="C217" s="160" t="s">
        <v>2623</v>
      </c>
      <c r="D217" s="160"/>
      <c r="E217" s="160"/>
      <c r="F217" s="160"/>
      <c r="G217" s="160"/>
      <c r="H217" s="160"/>
      <c r="L217" s="160"/>
      <c r="M217" s="160"/>
      <c r="N217" s="566" t="s">
        <v>3682</v>
      </c>
      <c r="O217" s="796"/>
      <c r="P217" s="234"/>
    </row>
    <row r="218" spans="1:18" s="137" customFormat="1" ht="11.4" customHeight="1">
      <c r="B218" s="566" t="s">
        <v>3683</v>
      </c>
      <c r="C218" s="160" t="s">
        <v>3489</v>
      </c>
      <c r="D218" s="160"/>
      <c r="E218" s="160"/>
      <c r="F218" s="160"/>
      <c r="G218" s="160"/>
      <c r="H218" s="160"/>
      <c r="I218" s="160"/>
      <c r="J218" s="160"/>
      <c r="K218" s="160"/>
      <c r="L218" s="160"/>
      <c r="M218" s="160"/>
      <c r="N218" s="566" t="s">
        <v>3683</v>
      </c>
      <c r="O218" s="79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2" customHeight="1">
      <c r="A221" s="1524" t="s">
        <v>4013</v>
      </c>
      <c r="B221" s="1525"/>
      <c r="C221" s="1525"/>
      <c r="D221" s="1525"/>
      <c r="E221" s="1525"/>
      <c r="F221" s="1525"/>
      <c r="G221" s="1525"/>
      <c r="H221" s="1525"/>
      <c r="I221" s="1525"/>
      <c r="J221" s="1525"/>
      <c r="K221" s="1525"/>
      <c r="L221" s="1525"/>
      <c r="M221" s="1525"/>
      <c r="N221" s="1525"/>
      <c r="O221" s="1525"/>
      <c r="P221" s="1526"/>
    </row>
    <row r="222" spans="1:18" s="53" customFormat="1" ht="25.2" customHeight="1">
      <c r="A222" s="1518"/>
      <c r="B222" s="1519"/>
      <c r="C222" s="1519"/>
      <c r="D222" s="1519"/>
      <c r="E222" s="1519"/>
      <c r="F222" s="1519"/>
      <c r="G222" s="1519"/>
      <c r="H222" s="1519"/>
      <c r="I222" s="1519"/>
      <c r="J222" s="1519"/>
      <c r="K222" s="1519"/>
      <c r="L222" s="1519"/>
      <c r="M222" s="1519"/>
      <c r="N222" s="1519"/>
      <c r="O222" s="1519"/>
      <c r="P222" s="1520"/>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2" customHeight="1">
      <c r="A224" s="1515"/>
      <c r="B224" s="1516"/>
      <c r="C224" s="1516"/>
      <c r="D224" s="1516"/>
      <c r="E224" s="1516"/>
      <c r="F224" s="1516"/>
      <c r="G224" s="1516"/>
      <c r="H224" s="1516"/>
      <c r="I224" s="1516"/>
      <c r="J224" s="1516"/>
      <c r="K224" s="1516"/>
      <c r="L224" s="1516"/>
      <c r="M224" s="1516"/>
      <c r="N224" s="1516"/>
      <c r="O224" s="1516"/>
      <c r="P224" s="1517"/>
    </row>
    <row r="225" spans="1:18" s="53" customFormat="1" ht="25.2" customHeight="1">
      <c r="A225" s="1533"/>
      <c r="B225" s="1534"/>
      <c r="C225" s="1534"/>
      <c r="D225" s="1534"/>
      <c r="E225" s="1534"/>
      <c r="F225" s="1534"/>
      <c r="G225" s="1534"/>
      <c r="H225" s="1534"/>
      <c r="I225" s="1534"/>
      <c r="J225" s="1534"/>
      <c r="K225" s="1534"/>
      <c r="L225" s="1534"/>
      <c r="M225" s="1534"/>
      <c r="N225" s="1534"/>
      <c r="O225" s="1534"/>
      <c r="P225" s="1535"/>
    </row>
    <row r="226" spans="1:18" ht="12.6" customHeight="1"/>
    <row r="227" spans="1:18" s="53" customFormat="1" ht="14.4">
      <c r="A227" s="210" t="s">
        <v>2679</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868</v>
      </c>
      <c r="E229" s="120"/>
      <c r="F229" s="65"/>
      <c r="G229" s="65"/>
      <c r="H229" s="65"/>
      <c r="I229" s="65"/>
      <c r="J229" s="67"/>
      <c r="K229" s="75"/>
      <c r="L229" s="71" t="str">
        <f>IF(M229&gt;14,"Over limit!","")</f>
        <v/>
      </c>
      <c r="N229" s="252" t="s">
        <v>3062</v>
      </c>
      <c r="O229" s="796"/>
      <c r="P229" s="234"/>
    </row>
    <row r="230" spans="1:18" s="137" customFormat="1" ht="12" customHeight="1">
      <c r="B230" s="252" t="s">
        <v>3064</v>
      </c>
      <c r="C230" s="137" t="s">
        <v>869</v>
      </c>
      <c r="N230" s="252" t="s">
        <v>3064</v>
      </c>
      <c r="O230" s="796"/>
      <c r="P230" s="234"/>
    </row>
    <row r="231" spans="1:18" s="137" customFormat="1" ht="12" customHeight="1">
      <c r="B231" s="252" t="s">
        <v>3821</v>
      </c>
      <c r="C231" s="137" t="s">
        <v>870</v>
      </c>
      <c r="N231" s="252" t="s">
        <v>3821</v>
      </c>
      <c r="O231" s="796"/>
      <c r="P231" s="234"/>
    </row>
    <row r="232" spans="1:18" s="137" customFormat="1" ht="12" customHeight="1">
      <c r="B232" s="252" t="s">
        <v>1884</v>
      </c>
      <c r="C232" s="137" t="s">
        <v>871</v>
      </c>
      <c r="N232" s="252" t="s">
        <v>1884</v>
      </c>
      <c r="O232" s="796"/>
      <c r="P232" s="234"/>
    </row>
    <row r="233" spans="1:18" s="137" customFormat="1" ht="12" customHeight="1">
      <c r="B233" s="252" t="s">
        <v>1885</v>
      </c>
      <c r="C233" s="137" t="s">
        <v>883</v>
      </c>
      <c r="N233" s="252" t="s">
        <v>1885</v>
      </c>
      <c r="O233" s="79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2215</v>
      </c>
      <c r="H236" s="68" t="s">
        <v>2216</v>
      </c>
      <c r="K236" s="255"/>
      <c r="L236" s="573" t="str">
        <f t="shared" ref="L236:L243" si="1">IF(OR($O236=$M236,$O236=0,$O236=""),"","* * Check Score! * *")</f>
        <v/>
      </c>
      <c r="M236" s="7">
        <v>1</v>
      </c>
      <c r="N236" s="252" t="s">
        <v>3062</v>
      </c>
      <c r="O236" s="796"/>
      <c r="P236" s="89"/>
      <c r="R236" s="573" t="str">
        <f>IF(OR($O236=$M236,$O236=0,$O236=""),"","* * Check Score! * *")</f>
        <v/>
      </c>
    </row>
    <row r="237" spans="1:18" ht="12" customHeight="1">
      <c r="A237" s="254"/>
      <c r="B237" s="252" t="s">
        <v>3064</v>
      </c>
      <c r="C237" s="46" t="s">
        <v>2219</v>
      </c>
      <c r="H237" s="68" t="s">
        <v>2216</v>
      </c>
      <c r="L237" s="573" t="str">
        <f t="shared" si="1"/>
        <v/>
      </c>
      <c r="M237" s="7">
        <v>1</v>
      </c>
      <c r="N237" s="252" t="s">
        <v>3064</v>
      </c>
      <c r="O237" s="796"/>
      <c r="P237" s="89"/>
      <c r="R237" s="573" t="str">
        <f t="shared" ref="R237:R243" si="2">IF(OR($O237=$M237,$O237=0,$O237=""),"","* * Check Score! * *")</f>
        <v/>
      </c>
    </row>
    <row r="238" spans="1:18" ht="12" customHeight="1">
      <c r="B238" s="252" t="s">
        <v>3821</v>
      </c>
      <c r="C238" s="46" t="s">
        <v>2223</v>
      </c>
      <c r="H238" s="68" t="s">
        <v>2216</v>
      </c>
      <c r="L238" s="573" t="str">
        <f>IF(OR($O238=$M238,$O238=0,$O238=""),"","* * Check Score! * *")</f>
        <v/>
      </c>
      <c r="M238" s="7">
        <v>1</v>
      </c>
      <c r="N238" s="252" t="s">
        <v>3821</v>
      </c>
      <c r="O238" s="796"/>
      <c r="P238" s="89"/>
      <c r="R238" s="573" t="str">
        <f>IF(OR($O238=$M238,$O238=0,$O238=""),"","* * Check Score! * *")</f>
        <v/>
      </c>
    </row>
    <row r="239" spans="1:18" ht="12" customHeight="1">
      <c r="A239" s="254"/>
      <c r="B239" s="252" t="s">
        <v>1884</v>
      </c>
      <c r="C239" s="46" t="s">
        <v>872</v>
      </c>
      <c r="L239" s="573" t="str">
        <f t="shared" si="1"/>
        <v/>
      </c>
      <c r="M239" s="7">
        <v>1</v>
      </c>
      <c r="N239" s="252" t="s">
        <v>1884</v>
      </c>
      <c r="O239" s="79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796"/>
      <c r="P240" s="89"/>
      <c r="R240" s="573" t="str">
        <f t="shared" si="2"/>
        <v/>
      </c>
    </row>
    <row r="241" spans="1:18" ht="12" customHeight="1">
      <c r="A241" s="254"/>
      <c r="B241" s="252" t="s">
        <v>2941</v>
      </c>
      <c r="C241" s="46" t="s">
        <v>2221</v>
      </c>
      <c r="H241" s="68" t="s">
        <v>2217</v>
      </c>
      <c r="L241" s="573" t="str">
        <f t="shared" si="1"/>
        <v/>
      </c>
      <c r="M241" s="7">
        <v>2</v>
      </c>
      <c r="N241" s="252" t="s">
        <v>2941</v>
      </c>
      <c r="O241" s="796"/>
      <c r="P241" s="89"/>
      <c r="R241" s="573" t="str">
        <f t="shared" si="2"/>
        <v/>
      </c>
    </row>
    <row r="242" spans="1:18" ht="12" customHeight="1">
      <c r="A242" s="254"/>
      <c r="B242" s="252" t="s">
        <v>742</v>
      </c>
      <c r="C242" s="46" t="s">
        <v>2222</v>
      </c>
      <c r="H242" s="68" t="s">
        <v>2217</v>
      </c>
      <c r="L242" s="573" t="str">
        <f t="shared" si="1"/>
        <v/>
      </c>
      <c r="M242" s="7">
        <v>2</v>
      </c>
      <c r="N242" s="252" t="s">
        <v>742</v>
      </c>
      <c r="O242" s="796"/>
      <c r="P242" s="89"/>
      <c r="R242" s="573" t="str">
        <f t="shared" si="2"/>
        <v/>
      </c>
    </row>
    <row r="243" spans="1:18" ht="12" customHeight="1">
      <c r="A243" s="254"/>
      <c r="B243" s="252" t="s">
        <v>743</v>
      </c>
      <c r="C243" s="46" t="s">
        <v>2224</v>
      </c>
      <c r="H243" s="68" t="s">
        <v>2218</v>
      </c>
      <c r="L243" s="573" t="str">
        <f t="shared" si="1"/>
        <v/>
      </c>
      <c r="M243" s="7">
        <v>3</v>
      </c>
      <c r="N243" s="252" t="s">
        <v>743</v>
      </c>
      <c r="O243" s="79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3061</v>
      </c>
      <c r="B245" s="258" t="s">
        <v>2894</v>
      </c>
      <c r="D245" s="49"/>
      <c r="E245" s="46"/>
      <c r="F245" s="1"/>
      <c r="G245" s="1"/>
      <c r="H245" s="46" t="s">
        <v>2895</v>
      </c>
      <c r="I245" s="1"/>
      <c r="J245" s="40"/>
      <c r="K245" s="40"/>
      <c r="L245" s="40"/>
      <c r="M245" s="3">
        <v>3</v>
      </c>
      <c r="N245" s="62" t="s">
        <v>3061</v>
      </c>
      <c r="O245" s="79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1237</v>
      </c>
      <c r="B247" s="258" t="s">
        <v>981</v>
      </c>
      <c r="D247" s="49"/>
      <c r="E247" s="46"/>
      <c r="F247" s="1"/>
      <c r="G247" s="1"/>
      <c r="H247" s="1"/>
      <c r="I247" s="1"/>
      <c r="J247" s="40"/>
      <c r="K247" s="40"/>
      <c r="L247" s="573" t="str">
        <f>IF(OR($O247=$M247,$O247=0,$O247=""),"","* * Check Score! * *")</f>
        <v/>
      </c>
      <c r="M247" s="1">
        <v>2</v>
      </c>
      <c r="N247" s="62" t="s">
        <v>1237</v>
      </c>
      <c r="O247" s="796"/>
      <c r="P247" s="89"/>
      <c r="R247" s="573" t="str">
        <f>IF(OR($O247=$M247,$O247=0,$O247=""),"","* * Check Score! * *")</f>
        <v/>
      </c>
    </row>
    <row r="248" spans="1:18" s="53" customFormat="1" ht="12.6" customHeight="1">
      <c r="A248" s="253"/>
      <c r="B248" s="252" t="s">
        <v>3062</v>
      </c>
      <c r="C248" s="46" t="s">
        <v>982</v>
      </c>
      <c r="E248" s="1640"/>
      <c r="F248" s="1641"/>
      <c r="G248" s="1641"/>
      <c r="H248" s="1642"/>
      <c r="K248" s="255"/>
      <c r="M248" s="7"/>
      <c r="N248" s="7"/>
      <c r="O248" s="7"/>
      <c r="P248" s="7"/>
    </row>
    <row r="249" spans="1:18" ht="33" customHeight="1">
      <c r="A249" s="254"/>
      <c r="B249" s="596" t="s">
        <v>3064</v>
      </c>
      <c r="C249" s="597" t="s">
        <v>3559</v>
      </c>
      <c r="D249" s="598"/>
      <c r="E249" s="1662"/>
      <c r="F249" s="1663"/>
      <c r="G249" s="1663"/>
      <c r="H249" s="1663"/>
      <c r="I249" s="1663"/>
      <c r="J249" s="1663"/>
      <c r="K249" s="1663"/>
      <c r="L249" s="1663"/>
      <c r="M249" s="1663"/>
      <c r="N249" s="1663"/>
      <c r="O249" s="1663"/>
      <c r="P249" s="1664"/>
    </row>
    <row r="250" spans="1:18" ht="12.6" customHeight="1">
      <c r="B250" s="252" t="s">
        <v>3821</v>
      </c>
      <c r="C250" s="46" t="s">
        <v>983</v>
      </c>
      <c r="E250" s="1660"/>
      <c r="F250" s="1661"/>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 customHeight="1">
      <c r="A253" s="1524" t="s">
        <v>4013</v>
      </c>
      <c r="B253" s="1525"/>
      <c r="C253" s="1525"/>
      <c r="D253" s="1525"/>
      <c r="E253" s="1525"/>
      <c r="F253" s="1525"/>
      <c r="G253" s="1525"/>
      <c r="H253" s="1525"/>
      <c r="I253" s="1525"/>
      <c r="J253" s="1525"/>
      <c r="K253" s="1525"/>
      <c r="L253" s="1525"/>
      <c r="M253" s="1525"/>
      <c r="N253" s="1525"/>
      <c r="O253" s="1525"/>
      <c r="P253" s="1526"/>
    </row>
    <row r="254" spans="1:18" s="53" customFormat="1" ht="23.4" customHeight="1">
      <c r="A254" s="1518"/>
      <c r="B254" s="1519"/>
      <c r="C254" s="1519"/>
      <c r="D254" s="1519"/>
      <c r="E254" s="1519"/>
      <c r="F254" s="1519"/>
      <c r="G254" s="1519"/>
      <c r="H254" s="1519"/>
      <c r="I254" s="1519"/>
      <c r="J254" s="1519"/>
      <c r="K254" s="1519"/>
      <c r="L254" s="1519"/>
      <c r="M254" s="1519"/>
      <c r="N254" s="1519"/>
      <c r="O254" s="1519"/>
      <c r="P254" s="1520"/>
    </row>
    <row r="255" spans="1:18" s="139" customFormat="1" ht="10.95" customHeight="1">
      <c r="A255" s="52"/>
      <c r="B255" s="133" t="s">
        <v>2920</v>
      </c>
      <c r="C255" s="135"/>
      <c r="D255" s="133"/>
      <c r="E255" s="261"/>
      <c r="F255" s="737"/>
      <c r="G255" s="737"/>
      <c r="H255" s="737"/>
      <c r="I255" s="737"/>
      <c r="J255" s="737"/>
      <c r="K255" s="737"/>
      <c r="L255" s="737"/>
      <c r="M255" s="737"/>
      <c r="N255" s="127"/>
      <c r="O255" s="259"/>
      <c r="P255" s="3"/>
    </row>
    <row r="256" spans="1:18" s="53" customFormat="1" ht="23.4" customHeight="1">
      <c r="A256" s="1515"/>
      <c r="B256" s="1516"/>
      <c r="C256" s="1516"/>
      <c r="D256" s="1516"/>
      <c r="E256" s="1516"/>
      <c r="F256" s="1516"/>
      <c r="G256" s="1516"/>
      <c r="H256" s="1516"/>
      <c r="I256" s="1516"/>
      <c r="J256" s="1516"/>
      <c r="K256" s="1516"/>
      <c r="L256" s="1516"/>
      <c r="M256" s="1516"/>
      <c r="N256" s="1516"/>
      <c r="O256" s="1516"/>
      <c r="P256" s="1517"/>
    </row>
    <row r="257" spans="1:18" s="53" customFormat="1" ht="23.4" customHeight="1">
      <c r="A257" s="1533"/>
      <c r="B257" s="1534"/>
      <c r="C257" s="1534"/>
      <c r="D257" s="1534"/>
      <c r="E257" s="1534"/>
      <c r="F257" s="1534"/>
      <c r="G257" s="1534"/>
      <c r="H257" s="1534"/>
      <c r="I257" s="1534"/>
      <c r="J257" s="1534"/>
      <c r="K257" s="1534"/>
      <c r="L257" s="1534"/>
      <c r="M257" s="1534"/>
      <c r="N257" s="1534"/>
      <c r="O257" s="1534"/>
      <c r="P257" s="1535"/>
    </row>
    <row r="258" spans="1:18" ht="6.6" customHeight="1"/>
    <row r="259" spans="1:18" s="53" customFormat="1" ht="14.4">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796" t="s">
        <v>3919</v>
      </c>
      <c r="P260" s="234"/>
    </row>
    <row r="261" spans="1:18" s="53" customFormat="1" ht="24.6" customHeight="1">
      <c r="A261" s="52"/>
      <c r="B261" s="1665" t="s">
        <v>3916</v>
      </c>
      <c r="C261" s="1666"/>
      <c r="D261" s="1666"/>
      <c r="E261" s="1666"/>
      <c r="F261" s="1666"/>
      <c r="G261" s="1666"/>
      <c r="H261" s="1666"/>
      <c r="I261" s="1666"/>
      <c r="J261" s="1666"/>
      <c r="K261" s="1666"/>
      <c r="L261" s="1666"/>
      <c r="M261" s="56"/>
      <c r="N261" s="77"/>
      <c r="O261" s="79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524"/>
      <c r="B263" s="1525"/>
      <c r="C263" s="1525"/>
      <c r="D263" s="1525"/>
      <c r="E263" s="1525"/>
      <c r="F263" s="1525"/>
      <c r="G263" s="1525"/>
      <c r="H263" s="1525"/>
      <c r="I263" s="1525"/>
      <c r="J263" s="1525"/>
      <c r="K263" s="1525"/>
      <c r="L263" s="1525"/>
      <c r="M263" s="1525"/>
      <c r="N263" s="1525"/>
      <c r="O263" s="1525"/>
      <c r="P263" s="1526"/>
    </row>
    <row r="264" spans="1:18" s="53" customFormat="1" ht="12" customHeight="1">
      <c r="A264" s="1518"/>
      <c r="B264" s="1519"/>
      <c r="C264" s="1519"/>
      <c r="D264" s="1519"/>
      <c r="E264" s="1519"/>
      <c r="F264" s="1519"/>
      <c r="G264" s="1519"/>
      <c r="H264" s="1519"/>
      <c r="I264" s="1519"/>
      <c r="J264" s="1519"/>
      <c r="K264" s="1519"/>
      <c r="L264" s="1519"/>
      <c r="M264" s="1519"/>
      <c r="N264" s="1519"/>
      <c r="O264" s="1519"/>
      <c r="P264" s="1520"/>
    </row>
    <row r="265" spans="1:18" s="139" customFormat="1" ht="12" customHeight="1">
      <c r="A265" s="52"/>
      <c r="B265" s="133" t="s">
        <v>2920</v>
      </c>
      <c r="C265" s="135"/>
      <c r="D265" s="133"/>
      <c r="E265" s="261"/>
      <c r="F265" s="737"/>
      <c r="G265" s="737"/>
      <c r="H265" s="737"/>
      <c r="I265" s="737"/>
      <c r="J265" s="737"/>
      <c r="K265" s="737"/>
      <c r="L265" s="737"/>
      <c r="M265" s="737"/>
      <c r="N265" s="127"/>
      <c r="O265" s="259"/>
      <c r="P265" s="3"/>
    </row>
    <row r="266" spans="1:18" s="53" customFormat="1" ht="23.4" customHeight="1">
      <c r="A266" s="1643"/>
      <c r="B266" s="1644"/>
      <c r="C266" s="1644"/>
      <c r="D266" s="1644"/>
      <c r="E266" s="1644"/>
      <c r="F266" s="1644"/>
      <c r="G266" s="1644"/>
      <c r="H266" s="1644"/>
      <c r="I266" s="1644"/>
      <c r="J266" s="1644"/>
      <c r="K266" s="1644"/>
      <c r="L266" s="1644"/>
      <c r="M266" s="1644"/>
      <c r="N266" s="1644"/>
      <c r="O266" s="1644"/>
      <c r="P266" s="1645"/>
    </row>
    <row r="267" spans="1:18" s="53" customFormat="1" ht="23.4" customHeight="1">
      <c r="A267" s="1547"/>
      <c r="B267" s="1548"/>
      <c r="C267" s="1548"/>
      <c r="D267" s="1548"/>
      <c r="E267" s="1548"/>
      <c r="F267" s="1548"/>
      <c r="G267" s="1548"/>
      <c r="H267" s="1548"/>
      <c r="I267" s="1548"/>
      <c r="J267" s="1548"/>
      <c r="K267" s="1548"/>
      <c r="L267" s="1548"/>
      <c r="M267" s="1548"/>
      <c r="N267" s="1548"/>
      <c r="O267" s="1548"/>
      <c r="P267" s="1549"/>
    </row>
    <row r="268" spans="1:18" s="53" customFormat="1" ht="23.4" customHeight="1">
      <c r="A268" s="1533"/>
      <c r="B268" s="1534"/>
      <c r="C268" s="1534"/>
      <c r="D268" s="1534"/>
      <c r="E268" s="1534"/>
      <c r="F268" s="1534"/>
      <c r="G268" s="1534"/>
      <c r="H268" s="1534"/>
      <c r="I268" s="1534"/>
      <c r="J268" s="1534"/>
      <c r="K268" s="1534"/>
      <c r="L268" s="1534"/>
      <c r="M268" s="1534"/>
      <c r="N268" s="1534"/>
      <c r="O268" s="1534"/>
      <c r="P268" s="1535"/>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4.4">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2686</v>
      </c>
      <c r="D271" s="42"/>
      <c r="E271" s="42"/>
      <c r="F271" s="42"/>
      <c r="L271" s="573" t="str">
        <f>IF(OR($O271=$M271,$O271=0,$O271=""),"","* * Check Score! * *")</f>
        <v/>
      </c>
      <c r="M271" s="7">
        <v>3</v>
      </c>
      <c r="N271" s="62" t="s">
        <v>3058</v>
      </c>
      <c r="O271" s="795">
        <v>3</v>
      </c>
      <c r="P271" s="89"/>
      <c r="Q271" s="146"/>
      <c r="R271" s="573" t="str">
        <f>IF(OR($O271=$M271,$O271=0,$O271=""),"","* * Check Score! * *")</f>
        <v/>
      </c>
    </row>
    <row r="272" spans="1:18" s="53" customFormat="1" ht="12" customHeight="1">
      <c r="A272" s="189" t="s">
        <v>3061</v>
      </c>
      <c r="B272" s="147" t="s">
        <v>2687</v>
      </c>
      <c r="D272" s="50"/>
      <c r="E272" s="50"/>
      <c r="F272" s="40"/>
      <c r="G272" s="139"/>
      <c r="H272" s="139"/>
      <c r="I272" s="139"/>
      <c r="J272" s="139"/>
      <c r="K272" s="139"/>
      <c r="L272" s="46"/>
      <c r="M272" s="7">
        <v>3</v>
      </c>
      <c r="N272" s="62" t="s">
        <v>3061</v>
      </c>
      <c r="O272" s="795">
        <v>3</v>
      </c>
      <c r="P272" s="89"/>
      <c r="R272" s="573" t="str">
        <f>IF(OR($O272=$M272,$O272=0,$O272=""),"","* * Check Score! * *")</f>
        <v/>
      </c>
    </row>
    <row r="273" spans="1:18" s="53" customFormat="1" ht="22.95" customHeight="1">
      <c r="A273" s="189"/>
      <c r="B273" s="1657" t="s">
        <v>3517</v>
      </c>
      <c r="C273" s="1658"/>
      <c r="D273" s="1658"/>
      <c r="E273" s="1658"/>
      <c r="F273" s="1658"/>
      <c r="G273" s="1658"/>
      <c r="H273" s="1658"/>
      <c r="I273" s="1658"/>
      <c r="J273" s="1658"/>
      <c r="K273" s="1658"/>
      <c r="L273" s="1658"/>
      <c r="M273" s="1658"/>
      <c r="N273" s="62"/>
      <c r="O273" s="79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530"/>
      <c r="B275" s="1531"/>
      <c r="C275" s="1531"/>
      <c r="D275" s="1531"/>
      <c r="E275" s="1531"/>
      <c r="F275" s="1531"/>
      <c r="G275" s="1531"/>
      <c r="H275" s="1531"/>
      <c r="I275" s="1531"/>
      <c r="J275" s="1531"/>
      <c r="K275" s="1531"/>
      <c r="L275" s="1531"/>
      <c r="M275" s="1531"/>
      <c r="N275" s="1531"/>
      <c r="O275" s="1531"/>
      <c r="P275" s="1532"/>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573"/>
      <c r="B277" s="1574"/>
      <c r="C277" s="1574"/>
      <c r="D277" s="1574"/>
      <c r="E277" s="1574"/>
      <c r="F277" s="1574"/>
      <c r="G277" s="1574"/>
      <c r="H277" s="1574"/>
      <c r="I277" s="1574"/>
      <c r="J277" s="1574"/>
      <c r="K277" s="1574"/>
      <c r="L277" s="1574"/>
      <c r="M277" s="1574"/>
      <c r="N277" s="1574"/>
      <c r="O277" s="1574"/>
      <c r="P277" s="157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 customHeight="1">
      <c r="B281" s="195" t="s">
        <v>3835</v>
      </c>
      <c r="M281" s="52"/>
      <c r="N281" s="52"/>
      <c r="O281" s="796" t="s">
        <v>3918</v>
      </c>
      <c r="P281" s="234"/>
    </row>
    <row r="282" spans="1:18" s="45" customFormat="1" ht="3" customHeight="1">
      <c r="M282" s="52"/>
      <c r="N282" s="52"/>
      <c r="O282" s="52"/>
      <c r="P282" s="52"/>
    </row>
    <row r="283" spans="1:18" ht="12.6" customHeight="1">
      <c r="B283" s="258" t="s">
        <v>3058</v>
      </c>
      <c r="C283" s="256" t="s">
        <v>2159</v>
      </c>
      <c r="D283" s="42"/>
      <c r="E283" s="42"/>
      <c r="F283" s="42"/>
      <c r="G283" s="42"/>
      <c r="H283" s="42"/>
      <c r="I283" s="42"/>
      <c r="J283" s="42"/>
      <c r="K283" s="42"/>
      <c r="L283" s="42"/>
      <c r="M283" s="156"/>
      <c r="N283" s="62" t="s">
        <v>3058</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796" t="s">
        <v>4022</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 customHeight="1">
      <c r="A288" s="1524" t="s">
        <v>4048</v>
      </c>
      <c r="B288" s="1525"/>
      <c r="C288" s="1525"/>
      <c r="D288" s="1525"/>
      <c r="E288" s="1525"/>
      <c r="F288" s="1525"/>
      <c r="G288" s="1525"/>
      <c r="H288" s="1525"/>
      <c r="I288" s="1525"/>
      <c r="J288" s="1525"/>
      <c r="K288" s="1525"/>
      <c r="L288" s="1525"/>
      <c r="M288" s="1525"/>
      <c r="N288" s="1525"/>
      <c r="O288" s="1525"/>
      <c r="P288" s="1526"/>
      <c r="Q288" s="1540" t="s">
        <v>1931</v>
      </c>
      <c r="R288" s="1540"/>
    </row>
    <row r="289" spans="1:19" s="67" customFormat="1" ht="23.4" customHeight="1">
      <c r="A289" s="1518"/>
      <c r="B289" s="1519"/>
      <c r="C289" s="1519"/>
      <c r="D289" s="1519"/>
      <c r="E289" s="1519"/>
      <c r="F289" s="1519"/>
      <c r="G289" s="1519"/>
      <c r="H289" s="1519"/>
      <c r="I289" s="1519"/>
      <c r="J289" s="1519"/>
      <c r="K289" s="1519"/>
      <c r="L289" s="1519"/>
      <c r="M289" s="1519"/>
      <c r="N289" s="1519"/>
      <c r="O289" s="1519"/>
      <c r="P289" s="1520"/>
    </row>
    <row r="290" spans="1:19" s="139" customFormat="1" ht="11.25" customHeight="1">
      <c r="A290" s="84"/>
      <c r="B290" s="84" t="s">
        <v>2920</v>
      </c>
      <c r="C290" s="60"/>
      <c r="D290" s="84"/>
      <c r="E290" s="737"/>
      <c r="F290" s="737"/>
      <c r="G290" s="737"/>
      <c r="H290" s="737"/>
      <c r="I290" s="737"/>
      <c r="J290" s="737"/>
      <c r="K290" s="737"/>
      <c r="L290" s="737"/>
      <c r="M290" s="737"/>
      <c r="N290" s="127"/>
      <c r="O290" s="259"/>
      <c r="P290" s="3"/>
    </row>
    <row r="291" spans="1:19" s="53" customFormat="1" ht="23.4" customHeight="1">
      <c r="A291" s="1515"/>
      <c r="B291" s="1516"/>
      <c r="C291" s="1516"/>
      <c r="D291" s="1516"/>
      <c r="E291" s="1516"/>
      <c r="F291" s="1516"/>
      <c r="G291" s="1516"/>
      <c r="H291" s="1516"/>
      <c r="I291" s="1516"/>
      <c r="J291" s="1516"/>
      <c r="K291" s="1516"/>
      <c r="L291" s="1516"/>
      <c r="M291" s="1516"/>
      <c r="N291" s="1516"/>
      <c r="O291" s="1516"/>
      <c r="P291" s="1517"/>
      <c r="Q291" s="1540" t="s">
        <v>1931</v>
      </c>
      <c r="R291" s="1540"/>
    </row>
    <row r="292" spans="1:19" s="53" customFormat="1" ht="23.4" customHeight="1">
      <c r="A292" s="1533"/>
      <c r="B292" s="1534"/>
      <c r="C292" s="1534"/>
      <c r="D292" s="1534"/>
      <c r="E292" s="1534"/>
      <c r="F292" s="1534"/>
      <c r="G292" s="1534"/>
      <c r="H292" s="1534"/>
      <c r="I292" s="1534"/>
      <c r="J292" s="1534"/>
      <c r="K292" s="1534"/>
      <c r="L292" s="1534"/>
      <c r="M292" s="1534"/>
      <c r="N292" s="1534"/>
      <c r="O292" s="1534"/>
      <c r="P292" s="1535"/>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61</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3183</v>
      </c>
      <c r="D301" s="166"/>
      <c r="E301" s="166"/>
      <c r="F301" s="166"/>
      <c r="G301" s="166"/>
      <c r="H301" s="166"/>
      <c r="I301" s="166"/>
      <c r="J301" s="166" t="s">
        <v>2799</v>
      </c>
      <c r="K301" s="166"/>
      <c r="L301" s="166"/>
      <c r="M301" s="155"/>
      <c r="Q301" s="155"/>
      <c r="R301" s="155"/>
      <c r="S301" s="155"/>
    </row>
    <row r="302" spans="1:19" ht="13.8">
      <c r="A302" s="155"/>
      <c r="B302" s="155"/>
      <c r="C302" s="113" t="s">
        <v>3841</v>
      </c>
      <c r="D302" s="113"/>
      <c r="E302" s="113"/>
      <c r="F302" s="113"/>
      <c r="G302" s="113"/>
      <c r="H302" s="113"/>
      <c r="I302" s="113"/>
      <c r="J302" s="358" t="s">
        <v>294</v>
      </c>
      <c r="K302" s="209"/>
      <c r="L302" s="166"/>
      <c r="M302" s="250"/>
      <c r="N302" s="251"/>
      <c r="Q302" s="155"/>
      <c r="R302" s="155"/>
      <c r="S302" s="155"/>
    </row>
    <row r="303" spans="1:19" ht="13.8">
      <c r="A303" s="155"/>
      <c r="B303" s="155"/>
      <c r="C303" s="113" t="s">
        <v>3184</v>
      </c>
      <c r="D303" s="113"/>
      <c r="E303" s="113"/>
      <c r="F303" s="113"/>
      <c r="G303" s="113"/>
      <c r="H303" s="113"/>
      <c r="I303" s="113"/>
      <c r="J303" s="358" t="s">
        <v>2635</v>
      </c>
      <c r="K303" s="209"/>
      <c r="L303" s="166"/>
      <c r="M303" s="250"/>
      <c r="N303" s="251"/>
      <c r="Q303" s="155"/>
      <c r="R303" s="155"/>
      <c r="S303" s="155"/>
    </row>
    <row r="304" spans="1:19" ht="13.8">
      <c r="A304" s="155"/>
      <c r="B304" s="155"/>
      <c r="C304" s="113" t="s">
        <v>3185</v>
      </c>
      <c r="D304" s="113"/>
      <c r="E304" s="113"/>
      <c r="F304" s="113"/>
      <c r="G304" s="113"/>
      <c r="H304" s="113"/>
      <c r="I304" s="113"/>
      <c r="J304" s="358" t="s">
        <v>2636</v>
      </c>
      <c r="K304" s="209"/>
      <c r="L304" s="166"/>
      <c r="M304" s="250"/>
      <c r="N304" s="251"/>
      <c r="Q304" s="155"/>
      <c r="R304" s="155"/>
      <c r="S304" s="155"/>
    </row>
    <row r="305" spans="1:19" ht="13.8">
      <c r="A305" s="155"/>
      <c r="B305" s="155"/>
      <c r="C305" s="359" t="s">
        <v>3186</v>
      </c>
      <c r="D305" s="113"/>
      <c r="E305" s="113"/>
      <c r="F305" s="113"/>
      <c r="G305" s="113"/>
      <c r="H305" s="113"/>
      <c r="I305" s="113"/>
      <c r="J305" s="358" t="s">
        <v>3783</v>
      </c>
      <c r="K305" s="209"/>
      <c r="L305" s="166"/>
      <c r="M305" s="250"/>
      <c r="N305" s="251"/>
      <c r="Q305" s="155"/>
      <c r="R305" s="155"/>
      <c r="S305" s="155"/>
    </row>
    <row r="306" spans="1:19" ht="13.8">
      <c r="A306" s="155"/>
      <c r="B306" s="155"/>
      <c r="C306" s="359" t="s">
        <v>3187</v>
      </c>
      <c r="D306" s="113"/>
      <c r="E306" s="113"/>
      <c r="F306" s="113"/>
      <c r="G306" s="113"/>
      <c r="H306" s="113"/>
      <c r="I306" s="113"/>
      <c r="J306" s="358" t="s">
        <v>2637</v>
      </c>
      <c r="K306" s="209"/>
      <c r="L306" s="166"/>
      <c r="M306" s="250"/>
      <c r="N306" s="251"/>
      <c r="Q306" s="155"/>
      <c r="R306" s="155"/>
      <c r="S306" s="155"/>
    </row>
    <row r="307" spans="1:19" ht="13.8">
      <c r="A307" s="155"/>
      <c r="B307" s="155"/>
      <c r="C307" s="359"/>
      <c r="D307" s="113"/>
      <c r="E307" s="113"/>
      <c r="F307" s="113"/>
      <c r="G307" s="113"/>
      <c r="H307" s="113"/>
      <c r="I307" s="113"/>
      <c r="J307" s="358" t="s">
        <v>2638</v>
      </c>
      <c r="K307" s="209"/>
      <c r="L307" s="166"/>
      <c r="M307" s="250"/>
      <c r="N307" s="251"/>
      <c r="Q307" s="155"/>
      <c r="R307" s="155"/>
      <c r="S307" s="155"/>
    </row>
    <row r="308" spans="1:19" ht="13.8">
      <c r="A308" s="155"/>
      <c r="B308" s="155"/>
      <c r="C308" s="166" t="s">
        <v>2799</v>
      </c>
      <c r="D308" s="113"/>
      <c r="E308" s="113"/>
      <c r="F308" s="113"/>
      <c r="G308" s="113"/>
      <c r="H308" s="113"/>
      <c r="I308" s="113"/>
      <c r="J308" s="358" t="s">
        <v>2639</v>
      </c>
      <c r="K308" s="209"/>
      <c r="L308" s="166"/>
      <c r="M308" s="250"/>
      <c r="N308" s="251"/>
      <c r="Q308" s="155"/>
      <c r="R308" s="155"/>
      <c r="S308" s="155"/>
    </row>
    <row r="309" spans="1:19" ht="13.8">
      <c r="A309" s="155"/>
      <c r="B309" s="155"/>
      <c r="C309" s="360" t="s">
        <v>2097</v>
      </c>
      <c r="D309" s="113"/>
      <c r="E309" s="113"/>
      <c r="F309" s="113"/>
      <c r="G309" s="113"/>
      <c r="H309" s="113"/>
      <c r="I309" s="113"/>
      <c r="J309" s="358" t="s">
        <v>2640</v>
      </c>
      <c r="K309" s="209"/>
      <c r="L309" s="166"/>
      <c r="M309" s="250"/>
      <c r="N309" s="251"/>
      <c r="Q309" s="155"/>
      <c r="R309" s="155"/>
      <c r="S309" s="155"/>
    </row>
    <row r="310" spans="1:19" ht="13.8">
      <c r="A310" s="155"/>
      <c r="B310" s="155"/>
      <c r="C310" s="360" t="s">
        <v>2098</v>
      </c>
      <c r="D310" s="113"/>
      <c r="E310" s="113"/>
      <c r="F310" s="113"/>
      <c r="G310" s="113"/>
      <c r="H310" s="113"/>
      <c r="I310" s="113"/>
      <c r="J310" s="358" t="s">
        <v>2641</v>
      </c>
      <c r="K310" s="209"/>
      <c r="L310" s="166"/>
      <c r="M310" s="250"/>
      <c r="N310" s="251"/>
      <c r="Q310" s="155"/>
      <c r="R310" s="155"/>
      <c r="S310" s="155"/>
    </row>
    <row r="311" spans="1:19" ht="13.8">
      <c r="A311" s="155"/>
      <c r="B311" s="155"/>
      <c r="C311" s="361" t="s">
        <v>3228</v>
      </c>
      <c r="D311" s="113"/>
      <c r="E311" s="113"/>
      <c r="F311" s="113"/>
      <c r="G311" s="113"/>
      <c r="H311" s="113"/>
      <c r="I311" s="113"/>
      <c r="J311" s="358" t="s">
        <v>2642</v>
      </c>
      <c r="K311" s="209"/>
      <c r="L311" s="166"/>
      <c r="M311" s="250"/>
      <c r="N311" s="251"/>
      <c r="Q311" s="155"/>
      <c r="R311" s="155"/>
      <c r="S311" s="155"/>
    </row>
    <row r="312" spans="1:19" ht="13.8">
      <c r="A312" s="155"/>
      <c r="B312" s="155"/>
      <c r="C312" s="361" t="s">
        <v>2094</v>
      </c>
      <c r="D312" s="113"/>
      <c r="E312" s="113"/>
      <c r="F312" s="113"/>
      <c r="G312" s="113"/>
      <c r="H312" s="113"/>
      <c r="I312" s="113"/>
      <c r="J312" s="358" t="s">
        <v>905</v>
      </c>
      <c r="K312" s="209"/>
      <c r="L312" s="166"/>
      <c r="M312" s="250"/>
      <c r="N312" s="251"/>
      <c r="Q312" s="155"/>
      <c r="R312" s="155"/>
      <c r="S312" s="155"/>
    </row>
    <row r="313" spans="1:19" ht="13.8">
      <c r="A313" s="155"/>
      <c r="B313" s="155"/>
      <c r="C313" s="361" t="s">
        <v>2095</v>
      </c>
      <c r="D313" s="113"/>
      <c r="E313" s="113"/>
      <c r="F313" s="113"/>
      <c r="G313" s="113"/>
      <c r="H313" s="113"/>
      <c r="I313" s="113"/>
      <c r="J313" s="358" t="s">
        <v>2643</v>
      </c>
      <c r="K313" s="209"/>
      <c r="L313" s="166"/>
      <c r="M313" s="250"/>
      <c r="N313" s="251"/>
      <c r="Q313" s="155"/>
      <c r="R313" s="155"/>
      <c r="S313" s="155"/>
    </row>
    <row r="314" spans="1:19" ht="13.8">
      <c r="A314" s="155"/>
      <c r="B314" s="155"/>
      <c r="C314" s="360" t="s">
        <v>3223</v>
      </c>
      <c r="D314" s="113"/>
      <c r="E314" s="113"/>
      <c r="F314" s="113"/>
      <c r="G314" s="113"/>
      <c r="H314" s="113"/>
      <c r="I314" s="113"/>
      <c r="J314" s="358" t="s">
        <v>2644</v>
      </c>
      <c r="K314" s="209"/>
      <c r="L314" s="166"/>
      <c r="M314" s="250"/>
      <c r="N314" s="251"/>
      <c r="Q314" s="155"/>
      <c r="R314" s="155"/>
      <c r="S314" s="155"/>
    </row>
    <row r="315" spans="1:19" ht="13.8">
      <c r="A315" s="155"/>
      <c r="B315" s="155"/>
      <c r="C315" s="360" t="s">
        <v>3224</v>
      </c>
      <c r="D315" s="113"/>
      <c r="E315" s="113"/>
      <c r="F315" s="113"/>
      <c r="G315" s="113"/>
      <c r="H315" s="113"/>
      <c r="I315" s="113"/>
      <c r="J315" s="358" t="s">
        <v>2645</v>
      </c>
      <c r="K315" s="166"/>
      <c r="L315" s="166"/>
      <c r="M315" s="250"/>
      <c r="N315" s="251"/>
      <c r="Q315" s="155"/>
      <c r="R315" s="155"/>
      <c r="S315" s="155"/>
    </row>
    <row r="316" spans="1:19" ht="13.8">
      <c r="A316" s="155"/>
      <c r="B316" s="155"/>
      <c r="C316" s="360" t="s">
        <v>3225</v>
      </c>
      <c r="D316" s="166"/>
      <c r="E316" s="166"/>
      <c r="F316" s="166"/>
      <c r="G316" s="166"/>
      <c r="H316" s="166"/>
      <c r="I316" s="166"/>
      <c r="J316" s="358" t="s">
        <v>41</v>
      </c>
      <c r="K316" s="166"/>
      <c r="L316" s="166"/>
      <c r="M316" s="250"/>
      <c r="N316" s="251"/>
      <c r="Q316" s="155"/>
      <c r="R316" s="155"/>
      <c r="S316" s="155"/>
    </row>
    <row r="317" spans="1:19" ht="13.8">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2247</v>
      </c>
      <c r="H323" s="672" t="s">
        <v>2248</v>
      </c>
      <c r="I323" s="672" t="s">
        <v>2249</v>
      </c>
      <c r="J323" s="166"/>
      <c r="K323" s="166"/>
      <c r="L323" s="166"/>
      <c r="M323" s="250"/>
      <c r="N323" s="251"/>
    </row>
    <row r="324" spans="1:19" ht="20.399999999999999">
      <c r="A324" s="155"/>
      <c r="B324" s="155"/>
      <c r="C324" s="166"/>
      <c r="D324" s="166"/>
      <c r="E324" s="166"/>
      <c r="F324" s="166"/>
      <c r="G324" s="673" t="s">
        <v>3807</v>
      </c>
      <c r="H324" s="673" t="s">
        <v>3808</v>
      </c>
      <c r="I324" s="673" t="s">
        <v>1836</v>
      </c>
      <c r="J324" s="166"/>
      <c r="K324" s="166"/>
      <c r="L324" s="166"/>
      <c r="M324" s="250"/>
      <c r="N324" s="251"/>
    </row>
    <row r="325" spans="1:19" ht="20.399999999999999">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3165</v>
      </c>
      <c r="H326" s="674" t="s">
        <v>2032</v>
      </c>
      <c r="I326" s="674" t="s">
        <v>2029</v>
      </c>
      <c r="J326" s="166"/>
      <c r="K326" s="166"/>
      <c r="L326" s="166"/>
      <c r="M326" s="250"/>
      <c r="N326" s="251"/>
    </row>
    <row r="327" spans="1:19">
      <c r="A327" s="155"/>
      <c r="B327" s="155"/>
      <c r="C327" s="166"/>
      <c r="D327" s="166"/>
      <c r="E327" s="166"/>
      <c r="F327" s="166"/>
      <c r="G327" s="673" t="s">
        <v>2545</v>
      </c>
      <c r="H327" s="674" t="s">
        <v>3828</v>
      </c>
      <c r="I327" s="674" t="s">
        <v>2032</v>
      </c>
      <c r="J327" s="166"/>
      <c r="K327" s="166"/>
      <c r="L327" s="166"/>
      <c r="M327" s="250"/>
      <c r="N327" s="251"/>
    </row>
    <row r="328" spans="1:19" ht="20.399999999999999">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2032</v>
      </c>
      <c r="H329" s="674" t="s">
        <v>2998</v>
      </c>
      <c r="I329" s="674" t="s">
        <v>3761</v>
      </c>
      <c r="J329" s="166"/>
      <c r="K329" s="166"/>
      <c r="L329" s="166"/>
      <c r="M329" s="250"/>
      <c r="N329" s="251"/>
    </row>
    <row r="330" spans="1:19">
      <c r="A330" s="155"/>
      <c r="B330" s="155"/>
      <c r="C330" s="166"/>
      <c r="D330" s="166"/>
      <c r="E330" s="166"/>
      <c r="F330" s="166"/>
      <c r="G330" s="673" t="s">
        <v>2250</v>
      </c>
      <c r="H330" s="674" t="s">
        <v>3410</v>
      </c>
      <c r="I330" s="674" t="s">
        <v>3763</v>
      </c>
      <c r="J330" s="166"/>
      <c r="K330" s="166"/>
      <c r="L330" s="166"/>
      <c r="M330" s="250"/>
      <c r="N330" s="251"/>
    </row>
    <row r="331" spans="1:19">
      <c r="A331" s="155"/>
      <c r="B331" s="155"/>
      <c r="C331" s="166"/>
      <c r="D331" s="166"/>
      <c r="E331" s="166"/>
      <c r="F331" s="166"/>
      <c r="G331" s="673" t="s">
        <v>1641</v>
      </c>
      <c r="H331" s="674" t="s">
        <v>3830</v>
      </c>
      <c r="I331" s="674" t="s">
        <v>3816</v>
      </c>
      <c r="J331" s="166"/>
      <c r="K331" s="166"/>
      <c r="L331" s="166"/>
      <c r="M331" s="250"/>
      <c r="N331" s="251"/>
    </row>
    <row r="332" spans="1:19">
      <c r="A332" s="155"/>
      <c r="B332" s="155"/>
      <c r="C332" s="166"/>
      <c r="D332" s="166"/>
      <c r="E332" s="166"/>
      <c r="F332" s="166"/>
      <c r="G332" s="673" t="s">
        <v>3763</v>
      </c>
      <c r="H332" s="674" t="s">
        <v>1002</v>
      </c>
      <c r="I332" s="674" t="s">
        <v>254</v>
      </c>
      <c r="J332" s="166"/>
      <c r="K332" s="166"/>
      <c r="L332" s="166"/>
      <c r="M332" s="250"/>
      <c r="N332" s="251"/>
    </row>
    <row r="333" spans="1:19">
      <c r="A333" s="155"/>
      <c r="B333" s="155"/>
      <c r="C333" s="166"/>
      <c r="D333" s="166"/>
      <c r="E333" s="166"/>
      <c r="F333" s="166"/>
      <c r="G333" s="673" t="s">
        <v>3152</v>
      </c>
      <c r="H333" s="674" t="s">
        <v>2632</v>
      </c>
      <c r="I333" s="674" t="s">
        <v>1548</v>
      </c>
      <c r="J333" s="166"/>
      <c r="K333" s="166"/>
      <c r="L333" s="166"/>
      <c r="M333" s="250"/>
      <c r="N333" s="251"/>
    </row>
    <row r="334" spans="1:19">
      <c r="A334" s="155"/>
      <c r="B334" s="155"/>
      <c r="C334" s="166"/>
      <c r="D334" s="166"/>
      <c r="E334" s="166"/>
      <c r="F334" s="166"/>
      <c r="G334" s="673" t="s">
        <v>933</v>
      </c>
      <c r="H334" s="674" t="s">
        <v>3831</v>
      </c>
      <c r="I334" s="674" t="s">
        <v>1550</v>
      </c>
      <c r="J334" s="166"/>
      <c r="K334" s="166"/>
      <c r="L334" s="166"/>
      <c r="M334" s="250"/>
      <c r="N334" s="251"/>
    </row>
    <row r="335" spans="1:19" ht="20.399999999999999">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3398</v>
      </c>
      <c r="I336" s="674" t="s">
        <v>1468</v>
      </c>
      <c r="J336" s="166"/>
      <c r="K336" s="166"/>
      <c r="L336" s="166"/>
      <c r="M336" s="250"/>
      <c r="N336" s="251"/>
    </row>
    <row r="337" spans="1:14">
      <c r="A337" s="155"/>
      <c r="B337" s="155"/>
      <c r="C337" s="166"/>
      <c r="D337" s="166"/>
      <c r="E337" s="166"/>
      <c r="F337" s="166"/>
      <c r="G337" s="673" t="s">
        <v>669</v>
      </c>
      <c r="H337" s="674" t="s">
        <v>2951</v>
      </c>
      <c r="I337" s="674" t="s">
        <v>1007</v>
      </c>
      <c r="J337" s="166"/>
      <c r="K337" s="166"/>
      <c r="L337" s="166"/>
      <c r="M337" s="250"/>
      <c r="N337" s="251"/>
    </row>
    <row r="338" spans="1:14" ht="40.799999999999997">
      <c r="A338" s="155"/>
      <c r="B338" s="155"/>
      <c r="C338" s="166"/>
      <c r="D338" s="166"/>
      <c r="E338" s="166"/>
      <c r="F338" s="166"/>
      <c r="G338" s="673" t="s">
        <v>298</v>
      </c>
      <c r="H338" s="674" t="s">
        <v>3834</v>
      </c>
      <c r="I338" s="674" t="s">
        <v>1012</v>
      </c>
      <c r="J338" s="166"/>
      <c r="K338" s="166"/>
      <c r="L338" s="166"/>
      <c r="M338" s="250"/>
      <c r="N338" s="251"/>
    </row>
    <row r="339" spans="1:14" ht="20.399999999999999">
      <c r="A339" s="155"/>
      <c r="B339" s="155"/>
      <c r="C339" s="166"/>
      <c r="D339" s="166"/>
      <c r="E339" s="166"/>
      <c r="F339" s="166"/>
      <c r="G339" s="673" t="s">
        <v>2547</v>
      </c>
      <c r="H339" s="674" t="s">
        <v>3827</v>
      </c>
      <c r="I339" s="674" t="s">
        <v>407</v>
      </c>
      <c r="J339" s="166"/>
      <c r="K339" s="166"/>
      <c r="L339" s="166"/>
      <c r="M339" s="250"/>
      <c r="N339" s="251"/>
    </row>
    <row r="340" spans="1:14" ht="20.399999999999999">
      <c r="A340" s="155"/>
      <c r="B340" s="155"/>
      <c r="C340" s="166"/>
      <c r="D340" s="166"/>
      <c r="E340" s="166"/>
      <c r="F340" s="166"/>
      <c r="G340" s="673" t="s">
        <v>880</v>
      </c>
      <c r="H340" s="674" t="s">
        <v>3832</v>
      </c>
      <c r="I340" s="674" t="s">
        <v>416</v>
      </c>
      <c r="J340" s="166"/>
      <c r="K340" s="166"/>
      <c r="L340" s="166"/>
      <c r="M340" s="250"/>
      <c r="N340" s="251"/>
    </row>
    <row r="341" spans="1:14">
      <c r="A341" s="155"/>
      <c r="B341" s="155"/>
      <c r="C341" s="166"/>
      <c r="D341" s="166"/>
      <c r="E341" s="166"/>
      <c r="F341" s="166"/>
      <c r="G341" s="673" t="s">
        <v>2548</v>
      </c>
      <c r="H341" s="674" t="s">
        <v>3833</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3189</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30.6">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3387</v>
      </c>
      <c r="H349" s="674"/>
      <c r="I349" s="674" t="s">
        <v>2539</v>
      </c>
      <c r="J349" s="166"/>
      <c r="K349" s="166"/>
      <c r="L349" s="166"/>
      <c r="M349" s="250"/>
      <c r="N349" s="251"/>
    </row>
    <row r="350" spans="1:14">
      <c r="A350" s="155"/>
      <c r="B350" s="155"/>
      <c r="C350" s="166"/>
      <c r="D350" s="166"/>
      <c r="E350" s="166"/>
      <c r="F350" s="166"/>
      <c r="G350" s="673" t="s">
        <v>3389</v>
      </c>
      <c r="H350" s="674"/>
      <c r="I350" s="674" t="s">
        <v>1741</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0.399999999999999">
      <c r="A352" s="155"/>
      <c r="B352" s="155"/>
      <c r="C352" s="166"/>
      <c r="D352" s="166"/>
      <c r="E352" s="166"/>
      <c r="F352" s="166"/>
      <c r="G352" s="673" t="s">
        <v>2550</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c r="A356" s="155"/>
      <c r="B356" s="155"/>
      <c r="C356" s="675"/>
      <c r="D356" s="675"/>
      <c r="E356" s="166"/>
      <c r="F356" s="166"/>
      <c r="G356" s="639" t="s">
        <v>2717</v>
      </c>
      <c r="H356" s="507"/>
      <c r="I356" s="674" t="s">
        <v>2661</v>
      </c>
      <c r="J356" s="166"/>
      <c r="K356" s="166"/>
      <c r="L356" s="166"/>
      <c r="M356" s="250"/>
      <c r="N356" s="251"/>
    </row>
    <row r="357" spans="1:14">
      <c r="A357" s="155"/>
      <c r="B357" s="155"/>
      <c r="C357" s="675"/>
      <c r="D357" s="675"/>
      <c r="E357" s="166"/>
      <c r="F357" s="166"/>
      <c r="G357" s="639" t="s">
        <v>120</v>
      </c>
      <c r="H357" s="507"/>
      <c r="I357" s="568" t="s">
        <v>118</v>
      </c>
      <c r="J357" s="166"/>
      <c r="K357" s="166"/>
      <c r="L357" s="166"/>
      <c r="M357" s="250"/>
      <c r="N357" s="251"/>
    </row>
    <row r="358" spans="1:14">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2296</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C20" sheet="1" objects="1" scenarios="1" formatCells="0"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7" sqref="A7"/>
    </sheetView>
  </sheetViews>
  <sheetFormatPr defaultColWidth="9.109375" defaultRowHeight="13.2"/>
  <cols>
    <col min="1" max="1" width="88.44140625" style="31" customWidth="1"/>
    <col min="2" max="16384" width="9.109375" style="31"/>
  </cols>
  <sheetData>
    <row r="1" spans="1:6" ht="15.6">
      <c r="A1" s="788" t="s">
        <v>802</v>
      </c>
    </row>
    <row r="2" spans="1:6" ht="13.8">
      <c r="A2" s="789" t="str">
        <f>'Part I-Project Information'!F22</f>
        <v>Pecan Point Apartments</v>
      </c>
    </row>
    <row r="3" spans="1:6" ht="13.8">
      <c r="A3" s="789" t="str">
        <f>CONCATENATE('Part I-Project Information'!F24,", ", 'Part I-Project Information'!J25," County")</f>
        <v>Cochran, Bleckley County</v>
      </c>
    </row>
    <row r="4" spans="1:6" ht="12" customHeight="1"/>
    <row r="5" spans="1:6" ht="111" customHeight="1">
      <c r="A5" s="790"/>
      <c r="B5" s="947" t="s">
        <v>1590</v>
      </c>
      <c r="C5" s="947"/>
      <c r="D5" s="947"/>
      <c r="E5" s="947"/>
      <c r="F5" s="947"/>
    </row>
    <row r="6" spans="1:6" ht="6.6" customHeight="1">
      <c r="A6" s="791"/>
      <c r="B6" s="947"/>
      <c r="C6" s="947"/>
      <c r="D6" s="947"/>
      <c r="E6" s="947"/>
      <c r="F6" s="947"/>
    </row>
    <row r="7" spans="1:6" ht="111" customHeight="1">
      <c r="A7" s="790"/>
      <c r="C7" s="792"/>
    </row>
    <row r="8" spans="1:6" ht="6.6" customHeight="1">
      <c r="A8" s="791"/>
    </row>
    <row r="9" spans="1:6" ht="111" customHeight="1">
      <c r="A9" s="790"/>
    </row>
    <row r="10" spans="1:6" ht="6.6" customHeight="1">
      <c r="A10" s="791"/>
    </row>
    <row r="11" spans="1:6" ht="111" customHeight="1">
      <c r="A11" s="790"/>
    </row>
    <row r="12" spans="1:6" ht="6.6" customHeight="1">
      <c r="A12" s="791"/>
    </row>
    <row r="13" spans="1:6" ht="111" customHeight="1">
      <c r="A13" s="790"/>
    </row>
    <row r="14" spans="1:6" ht="6.6" customHeight="1">
      <c r="A14" s="791"/>
    </row>
    <row r="15" spans="1:6" ht="111" customHeight="1">
      <c r="A15" s="790"/>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sheet="1" objects="1" scenarios="1" formatCells="0" formatColumns="0"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778" customWidth="1"/>
    <col min="2" max="6" width="6.44140625" style="778" customWidth="1"/>
    <col min="7" max="7" width="9.6640625" style="778" customWidth="1"/>
    <col min="8" max="13" width="6.44140625" style="778" customWidth="1"/>
    <col min="14" max="15" width="5.88671875" style="778" customWidth="1"/>
    <col min="16" max="16384" width="8.88671875" style="778"/>
  </cols>
  <sheetData>
    <row r="1" spans="1:26" ht="18">
      <c r="N1" s="779" t="s">
        <v>2241</v>
      </c>
      <c r="O1" s="779"/>
      <c r="P1" s="779"/>
      <c r="Q1" s="779"/>
      <c r="R1" s="779"/>
      <c r="S1" s="779"/>
      <c r="T1" s="779"/>
      <c r="U1" s="779"/>
      <c r="V1" s="779"/>
      <c r="W1" s="779"/>
      <c r="X1" s="779"/>
      <c r="Y1" s="779"/>
      <c r="Z1" s="779"/>
    </row>
    <row r="3" spans="1:26">
      <c r="N3" s="780" t="s">
        <v>2242</v>
      </c>
      <c r="O3" s="780"/>
      <c r="P3" s="780"/>
      <c r="Q3" s="780"/>
      <c r="R3" s="780"/>
      <c r="S3" s="780"/>
      <c r="T3" s="780"/>
      <c r="U3" s="780"/>
      <c r="V3" s="780"/>
      <c r="W3" s="780"/>
      <c r="X3" s="780"/>
      <c r="Y3" s="780"/>
      <c r="Z3" s="780"/>
    </row>
    <row r="4" spans="1:26">
      <c r="N4" s="781" t="s">
        <v>2243</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1058</v>
      </c>
    </row>
    <row r="7" spans="1:26" ht="11.4" customHeight="1">
      <c r="A7" s="782"/>
      <c r="B7" s="782"/>
      <c r="C7" s="782"/>
      <c r="D7" s="782"/>
      <c r="E7" s="782"/>
      <c r="F7" s="782"/>
      <c r="G7" s="782"/>
      <c r="H7" s="782"/>
      <c r="I7" s="782"/>
      <c r="J7" s="782"/>
      <c r="K7" s="782"/>
      <c r="L7" s="782"/>
      <c r="M7" s="782"/>
    </row>
    <row r="8" spans="1:26" ht="63.6" customHeight="1">
      <c r="A8" s="1698" t="s">
        <v>3472</v>
      </c>
      <c r="B8" s="1698"/>
      <c r="C8" s="1698"/>
      <c r="D8" s="1698"/>
      <c r="E8" s="1698"/>
      <c r="F8" s="1698"/>
      <c r="G8" s="1698"/>
      <c r="H8" s="1698"/>
      <c r="I8" s="1698"/>
      <c r="J8" s="1698"/>
      <c r="K8" s="1698"/>
      <c r="L8" s="1698"/>
      <c r="M8" s="1698"/>
    </row>
    <row r="9" spans="1:26" ht="11.4" customHeight="1">
      <c r="A9" s="782"/>
      <c r="B9" s="782"/>
      <c r="C9" s="782"/>
      <c r="D9" s="782"/>
      <c r="E9" s="782"/>
      <c r="F9" s="782"/>
      <c r="G9" s="782"/>
      <c r="H9" s="782"/>
      <c r="I9" s="782"/>
      <c r="J9" s="782"/>
      <c r="K9" s="782"/>
      <c r="L9" s="782"/>
      <c r="M9" s="782"/>
    </row>
    <row r="10" spans="1:26">
      <c r="A10" s="782" t="s">
        <v>1063</v>
      </c>
      <c r="B10" s="782"/>
      <c r="C10" s="782"/>
      <c r="D10" s="782"/>
      <c r="E10" s="782"/>
      <c r="F10" s="782"/>
      <c r="G10" s="782"/>
      <c r="H10" s="782"/>
      <c r="I10" s="782"/>
      <c r="J10" s="782"/>
      <c r="K10" s="782"/>
      <c r="L10" s="782"/>
      <c r="M10" s="782"/>
    </row>
    <row r="11" spans="1:26" ht="11.4" customHeight="1">
      <c r="A11" s="782"/>
      <c r="B11" s="782"/>
      <c r="C11" s="782"/>
      <c r="D11" s="782"/>
      <c r="E11" s="782"/>
      <c r="F11" s="782"/>
      <c r="G11" s="782"/>
      <c r="H11" s="782"/>
      <c r="I11" s="782"/>
      <c r="J11" s="782"/>
      <c r="K11" s="782"/>
      <c r="L11" s="782"/>
      <c r="M11" s="782"/>
    </row>
    <row r="12" spans="1:26">
      <c r="A12" s="1699" t="s">
        <v>2967</v>
      </c>
      <c r="B12" s="1699"/>
      <c r="C12" s="1699"/>
      <c r="D12" s="1699"/>
      <c r="E12" s="1699"/>
      <c r="F12" s="1699"/>
      <c r="G12" s="1699"/>
      <c r="H12" s="1699"/>
      <c r="I12" s="1699"/>
      <c r="J12" s="1699"/>
      <c r="K12" s="1699"/>
      <c r="L12" s="1699"/>
      <c r="M12" s="1699"/>
    </row>
    <row r="13" spans="1:26" ht="11.4" customHeight="1">
      <c r="A13" s="1699"/>
      <c r="B13" s="1699"/>
      <c r="C13" s="1699"/>
      <c r="D13" s="1699"/>
      <c r="E13" s="1699"/>
      <c r="F13" s="1699"/>
      <c r="G13" s="1699"/>
      <c r="H13" s="1699"/>
      <c r="I13" s="1699"/>
      <c r="J13" s="1699"/>
      <c r="K13" s="1699"/>
      <c r="L13" s="1699"/>
      <c r="M13" s="1699"/>
    </row>
    <row r="14" spans="1:26" ht="48.6" customHeight="1">
      <c r="A14" s="1700" t="s">
        <v>801</v>
      </c>
      <c r="B14" s="1700"/>
      <c r="C14" s="1700"/>
      <c r="D14" s="1700"/>
      <c r="E14" s="1700"/>
      <c r="F14" s="1700"/>
      <c r="G14" s="1700"/>
      <c r="H14" s="1700"/>
      <c r="I14" s="1700"/>
      <c r="J14" s="1700"/>
      <c r="K14" s="1700"/>
      <c r="L14" s="1700"/>
      <c r="M14" s="1700"/>
    </row>
    <row r="15" spans="1:26" ht="3" customHeight="1">
      <c r="A15" s="1699"/>
      <c r="B15" s="1699"/>
      <c r="C15" s="1699"/>
      <c r="D15" s="1699"/>
      <c r="E15" s="1699"/>
      <c r="F15" s="1699"/>
      <c r="G15" s="1699"/>
      <c r="H15" s="1699"/>
      <c r="I15" s="1699"/>
      <c r="J15" s="1699"/>
      <c r="K15" s="1699"/>
      <c r="L15" s="1699"/>
      <c r="M15" s="1699"/>
    </row>
    <row r="16" spans="1:26" ht="60" customHeight="1">
      <c r="A16" s="784" t="s">
        <v>2763</v>
      </c>
      <c r="B16" s="1701" t="s">
        <v>111</v>
      </c>
      <c r="C16" s="1701"/>
      <c r="D16" s="1701"/>
      <c r="E16" s="1701"/>
      <c r="F16" s="1701"/>
      <c r="G16" s="1701"/>
      <c r="H16" s="1701"/>
      <c r="I16" s="1701"/>
      <c r="J16" s="1701"/>
      <c r="K16" s="1701"/>
      <c r="L16" s="1701"/>
      <c r="M16" s="1701"/>
    </row>
    <row r="17" spans="1:13" ht="3" customHeight="1">
      <c r="A17" s="1699"/>
      <c r="B17" s="1699"/>
      <c r="C17" s="1699"/>
      <c r="D17" s="1699"/>
      <c r="E17" s="1699"/>
      <c r="F17" s="1699"/>
      <c r="G17" s="1699"/>
      <c r="H17" s="1699"/>
      <c r="I17" s="1699"/>
      <c r="J17" s="1699"/>
      <c r="K17" s="1699"/>
      <c r="L17" s="1699"/>
      <c r="M17" s="1699"/>
    </row>
    <row r="18" spans="1:13" ht="120.6" customHeight="1">
      <c r="A18" s="784" t="s">
        <v>2764</v>
      </c>
      <c r="B18" s="1701" t="s">
        <v>979</v>
      </c>
      <c r="C18" s="1701"/>
      <c r="D18" s="1701"/>
      <c r="E18" s="1701"/>
      <c r="F18" s="1701"/>
      <c r="G18" s="1701"/>
      <c r="H18" s="1701"/>
      <c r="I18" s="1701"/>
      <c r="J18" s="1701"/>
      <c r="K18" s="1701"/>
      <c r="L18" s="1701"/>
      <c r="M18" s="1701"/>
    </row>
    <row r="19" spans="1:13" ht="3" customHeight="1">
      <c r="A19" s="1699"/>
      <c r="B19" s="1699"/>
      <c r="C19" s="1699"/>
      <c r="D19" s="1699"/>
      <c r="E19" s="1699"/>
      <c r="F19" s="1699"/>
      <c r="G19" s="1699"/>
      <c r="H19" s="1699"/>
      <c r="I19" s="1699"/>
      <c r="J19" s="1699"/>
      <c r="K19" s="1699"/>
      <c r="L19" s="1699"/>
      <c r="M19" s="1699"/>
    </row>
    <row r="20" spans="1:13" ht="135.6" customHeight="1">
      <c r="A20" s="784" t="s">
        <v>2765</v>
      </c>
      <c r="B20" s="1701" t="s">
        <v>1492</v>
      </c>
      <c r="C20" s="1701"/>
      <c r="D20" s="1701"/>
      <c r="E20" s="1701"/>
      <c r="F20" s="1701"/>
      <c r="G20" s="1701"/>
      <c r="H20" s="1701"/>
      <c r="I20" s="1701"/>
      <c r="J20" s="1701"/>
      <c r="K20" s="1701"/>
      <c r="L20" s="1701"/>
      <c r="M20" s="1701"/>
    </row>
    <row r="21" spans="1:13" ht="3" customHeight="1">
      <c r="A21" s="1699"/>
      <c r="B21" s="1699"/>
      <c r="C21" s="1699"/>
      <c r="D21" s="1699"/>
      <c r="E21" s="1699"/>
      <c r="F21" s="1699"/>
      <c r="G21" s="1699"/>
      <c r="H21" s="1699"/>
      <c r="I21" s="1699"/>
      <c r="J21" s="1699"/>
      <c r="K21" s="1699"/>
      <c r="L21" s="1699"/>
      <c r="M21" s="1699"/>
    </row>
    <row r="22" spans="1:13" ht="65.400000000000006" customHeight="1">
      <c r="A22" s="784" t="s">
        <v>3569</v>
      </c>
      <c r="B22" s="1701" t="s">
        <v>1032</v>
      </c>
      <c r="C22" s="1701"/>
      <c r="D22" s="1701"/>
      <c r="E22" s="1701"/>
      <c r="F22" s="1701"/>
      <c r="G22" s="1701"/>
      <c r="H22" s="1701"/>
      <c r="I22" s="1701"/>
      <c r="J22" s="1701"/>
      <c r="K22" s="1701"/>
      <c r="L22" s="1701"/>
      <c r="M22" s="1701"/>
    </row>
    <row r="23" spans="1:13" ht="165.6" customHeight="1">
      <c r="A23" s="784" t="s">
        <v>2302</v>
      </c>
      <c r="B23" s="1701" t="s">
        <v>3122</v>
      </c>
      <c r="C23" s="1701"/>
      <c r="D23" s="1701"/>
      <c r="E23" s="1701"/>
      <c r="F23" s="1701"/>
      <c r="G23" s="1701"/>
      <c r="H23" s="1701"/>
      <c r="I23" s="1701"/>
      <c r="J23" s="1701"/>
      <c r="K23" s="1701"/>
      <c r="L23" s="1701"/>
      <c r="M23" s="1701"/>
    </row>
    <row r="24" spans="1:13" ht="3" customHeight="1">
      <c r="A24" s="1699"/>
      <c r="B24" s="1699"/>
      <c r="C24" s="1699"/>
      <c r="D24" s="1699"/>
      <c r="E24" s="1699"/>
      <c r="F24" s="1699"/>
      <c r="G24" s="1699"/>
      <c r="H24" s="1699"/>
      <c r="I24" s="1699"/>
      <c r="J24" s="1699"/>
      <c r="K24" s="1699"/>
      <c r="L24" s="1699"/>
      <c r="M24" s="1699"/>
    </row>
    <row r="25" spans="1:13" ht="46.2" customHeight="1">
      <c r="A25" s="784" t="s">
        <v>2303</v>
      </c>
      <c r="B25" s="1701" t="s">
        <v>2190</v>
      </c>
      <c r="C25" s="1701"/>
      <c r="D25" s="1701"/>
      <c r="E25" s="1701"/>
      <c r="F25" s="1701"/>
      <c r="G25" s="1701"/>
      <c r="H25" s="1701"/>
      <c r="I25" s="1701"/>
      <c r="J25" s="1701"/>
      <c r="K25" s="1701"/>
      <c r="L25" s="1701"/>
      <c r="M25" s="1701"/>
    </row>
    <row r="26" spans="1:13" ht="3" customHeight="1">
      <c r="A26" s="1699"/>
      <c r="B26" s="1699"/>
      <c r="C26" s="1699"/>
      <c r="D26" s="1699"/>
      <c r="E26" s="1699"/>
      <c r="F26" s="1699"/>
      <c r="G26" s="1699"/>
      <c r="H26" s="1699"/>
      <c r="I26" s="1699"/>
      <c r="J26" s="1699"/>
      <c r="K26" s="1699"/>
      <c r="L26" s="1699"/>
      <c r="M26" s="1699"/>
    </row>
    <row r="27" spans="1:13">
      <c r="A27" s="784" t="s">
        <v>112</v>
      </c>
      <c r="B27" s="1701" t="s">
        <v>2191</v>
      </c>
      <c r="C27" s="1701"/>
      <c r="D27" s="1701"/>
      <c r="E27" s="1701"/>
      <c r="F27" s="1701"/>
      <c r="G27" s="1701"/>
      <c r="H27" s="1701"/>
      <c r="I27" s="1701"/>
      <c r="J27" s="1701"/>
      <c r="K27" s="1701"/>
      <c r="L27" s="1701"/>
      <c r="M27" s="1701"/>
    </row>
    <row r="28" spans="1:13" ht="12" customHeight="1">
      <c r="A28" s="1699"/>
      <c r="B28" s="1699"/>
      <c r="C28" s="1699"/>
      <c r="D28" s="1699"/>
      <c r="E28" s="1699"/>
      <c r="F28" s="1699"/>
      <c r="G28" s="1699"/>
      <c r="H28" s="1699"/>
      <c r="I28" s="1699"/>
      <c r="J28" s="1699"/>
      <c r="K28" s="1699"/>
      <c r="L28" s="1699"/>
      <c r="M28" s="1699"/>
    </row>
    <row r="29" spans="1:13">
      <c r="A29" s="1699" t="s">
        <v>2192</v>
      </c>
      <c r="B29" s="1699"/>
      <c r="C29" s="1699"/>
      <c r="D29" s="1699"/>
      <c r="E29" s="1699"/>
      <c r="F29" s="1699"/>
      <c r="G29" s="1699"/>
      <c r="H29" s="1699"/>
      <c r="I29" s="1699"/>
      <c r="J29" s="1699"/>
      <c r="K29" s="1699"/>
      <c r="L29" s="1699"/>
      <c r="M29" s="1699"/>
    </row>
    <row r="30" spans="1:13" ht="3" customHeight="1">
      <c r="A30" s="1699"/>
      <c r="B30" s="1699"/>
      <c r="C30" s="1699"/>
      <c r="D30" s="1699"/>
      <c r="E30" s="1699"/>
      <c r="F30" s="1699"/>
      <c r="G30" s="1699"/>
      <c r="H30" s="1699"/>
      <c r="I30" s="1699"/>
      <c r="J30" s="1699"/>
      <c r="K30" s="1699"/>
      <c r="L30" s="1699"/>
      <c r="M30" s="1699"/>
    </row>
    <row r="31" spans="1:13" ht="33" customHeight="1">
      <c r="A31" s="785" t="s">
        <v>2193</v>
      </c>
      <c r="B31" s="1701" t="s">
        <v>2151</v>
      </c>
      <c r="C31" s="1701"/>
      <c r="D31" s="1701"/>
      <c r="E31" s="1701"/>
      <c r="F31" s="1701"/>
      <c r="G31" s="1701"/>
      <c r="H31" s="1701"/>
      <c r="I31" s="1701"/>
      <c r="J31" s="1701"/>
      <c r="K31" s="1701"/>
      <c r="L31" s="1701"/>
      <c r="M31" s="1701"/>
    </row>
    <row r="32" spans="1:13" ht="3" customHeight="1">
      <c r="A32" s="1699"/>
      <c r="B32" s="1699"/>
      <c r="C32" s="1699"/>
      <c r="D32" s="1699"/>
      <c r="E32" s="1699"/>
      <c r="F32" s="1699"/>
      <c r="G32" s="1699"/>
      <c r="H32" s="1699"/>
      <c r="I32" s="1699"/>
      <c r="J32" s="1699"/>
      <c r="K32" s="1699"/>
      <c r="L32" s="1699"/>
      <c r="M32" s="1699"/>
    </row>
    <row r="33" spans="1:13" ht="45.6" customHeight="1">
      <c r="A33" s="785" t="s">
        <v>2193</v>
      </c>
      <c r="B33" s="1701" t="s">
        <v>1788</v>
      </c>
      <c r="C33" s="1701"/>
      <c r="D33" s="1701"/>
      <c r="E33" s="1701"/>
      <c r="F33" s="1701"/>
      <c r="G33" s="1701"/>
      <c r="H33" s="1701"/>
      <c r="I33" s="1701"/>
      <c r="J33" s="1701"/>
      <c r="K33" s="1701"/>
      <c r="L33" s="1701"/>
      <c r="M33" s="1701"/>
    </row>
    <row r="34" spans="1:13" ht="3" customHeight="1">
      <c r="A34" s="1699"/>
      <c r="B34" s="1699"/>
      <c r="C34" s="1699"/>
      <c r="D34" s="1699"/>
      <c r="E34" s="1699"/>
      <c r="F34" s="1699"/>
      <c r="G34" s="1699"/>
      <c r="H34" s="1699"/>
      <c r="I34" s="1699"/>
      <c r="J34" s="1699"/>
      <c r="K34" s="1699"/>
      <c r="L34" s="1699"/>
      <c r="M34" s="1699"/>
    </row>
    <row r="35" spans="1:13" ht="75" customHeight="1">
      <c r="A35" s="785" t="s">
        <v>2193</v>
      </c>
      <c r="B35" s="1701" t="s">
        <v>1774</v>
      </c>
      <c r="C35" s="1701"/>
      <c r="D35" s="1701"/>
      <c r="E35" s="1701"/>
      <c r="F35" s="1701"/>
      <c r="G35" s="1701"/>
      <c r="H35" s="1701"/>
      <c r="I35" s="1701"/>
      <c r="J35" s="1701"/>
      <c r="K35" s="1701"/>
      <c r="L35" s="1701"/>
      <c r="M35" s="1701"/>
    </row>
    <row r="36" spans="1:13" ht="12" customHeight="1">
      <c r="A36" s="1699"/>
      <c r="B36" s="1699"/>
      <c r="C36" s="1699"/>
      <c r="D36" s="1699"/>
      <c r="E36" s="1699"/>
      <c r="F36" s="1699"/>
      <c r="G36" s="1699"/>
      <c r="H36" s="1699"/>
      <c r="I36" s="1699"/>
      <c r="J36" s="1699"/>
      <c r="K36" s="1699"/>
      <c r="L36" s="1699"/>
      <c r="M36" s="1699"/>
    </row>
    <row r="37" spans="1:13" ht="48" customHeight="1">
      <c r="A37" s="1701" t="s">
        <v>1540</v>
      </c>
      <c r="B37" s="1701"/>
      <c r="C37" s="1701"/>
      <c r="D37" s="1701"/>
      <c r="E37" s="1701"/>
      <c r="F37" s="1701"/>
      <c r="G37" s="1701"/>
      <c r="H37" s="1701"/>
      <c r="I37" s="1701"/>
      <c r="J37" s="1701"/>
      <c r="K37" s="1701"/>
      <c r="L37" s="1701"/>
      <c r="M37" s="1701"/>
    </row>
    <row r="38" spans="1:13" ht="3" customHeight="1">
      <c r="A38" s="1699"/>
      <c r="B38" s="1699"/>
      <c r="C38" s="1699"/>
      <c r="D38" s="1699"/>
      <c r="E38" s="1699"/>
      <c r="F38" s="1699"/>
      <c r="G38" s="1699"/>
      <c r="H38" s="1699"/>
      <c r="I38" s="1699"/>
      <c r="J38" s="1699"/>
      <c r="K38" s="1699"/>
      <c r="L38" s="1699"/>
      <c r="M38" s="1699"/>
    </row>
    <row r="39" spans="1:13" ht="36.6" customHeight="1">
      <c r="A39" s="1701" t="s">
        <v>1515</v>
      </c>
      <c r="B39" s="1701"/>
      <c r="C39" s="1701"/>
      <c r="D39" s="1701"/>
      <c r="E39" s="1701"/>
      <c r="F39" s="1701"/>
      <c r="G39" s="1701"/>
      <c r="H39" s="1701"/>
      <c r="I39" s="1701"/>
      <c r="J39" s="1701"/>
      <c r="K39" s="1701"/>
      <c r="L39" s="1701"/>
      <c r="M39" s="1701"/>
    </row>
    <row r="40" spans="1:13" ht="3" customHeight="1">
      <c r="A40" s="1699"/>
      <c r="B40" s="1699"/>
      <c r="C40" s="1699"/>
      <c r="D40" s="1699"/>
      <c r="E40" s="1699"/>
      <c r="F40" s="1699"/>
      <c r="G40" s="1699"/>
      <c r="H40" s="1699"/>
      <c r="I40" s="1699"/>
      <c r="J40" s="1699"/>
      <c r="K40" s="1699"/>
      <c r="L40" s="1699"/>
      <c r="M40" s="1699"/>
    </row>
    <row r="41" spans="1:13">
      <c r="A41" s="1699" t="s">
        <v>1516</v>
      </c>
      <c r="B41" s="1699"/>
      <c r="C41" s="1699"/>
      <c r="D41" s="1699"/>
      <c r="E41" s="1699"/>
      <c r="F41" s="1699"/>
      <c r="G41" s="1699"/>
      <c r="H41" s="1699"/>
      <c r="I41" s="1699"/>
      <c r="J41" s="1699"/>
      <c r="K41" s="1699"/>
      <c r="L41" s="1699"/>
      <c r="M41" s="1699"/>
    </row>
    <row r="42" spans="1:13">
      <c r="A42" s="786"/>
      <c r="B42" s="786"/>
      <c r="C42" s="786"/>
      <c r="D42" s="786"/>
      <c r="E42" s="786"/>
      <c r="F42" s="786"/>
      <c r="G42" s="786"/>
      <c r="H42" s="786"/>
      <c r="I42" s="786"/>
      <c r="J42" s="786"/>
      <c r="K42" s="786"/>
      <c r="L42" s="786"/>
      <c r="M42" s="786"/>
    </row>
    <row r="43" spans="1:13">
      <c r="A43" s="1704"/>
      <c r="B43" s="1704"/>
      <c r="C43" s="1704"/>
      <c r="D43" s="1704"/>
      <c r="E43" s="1704"/>
      <c r="F43" s="1704"/>
      <c r="G43" s="787"/>
      <c r="H43" s="1704"/>
      <c r="I43" s="1704"/>
      <c r="J43" s="1704"/>
      <c r="K43" s="1704"/>
      <c r="L43" s="1704"/>
      <c r="M43" s="1704"/>
    </row>
    <row r="44" spans="1:13" ht="12" customHeight="1">
      <c r="A44" s="1703" t="s">
        <v>1517</v>
      </c>
      <c r="B44" s="1703"/>
      <c r="C44" s="1703"/>
      <c r="D44" s="1703"/>
      <c r="E44" s="1703"/>
      <c r="F44" s="1703"/>
      <c r="G44" s="787"/>
      <c r="H44" s="1703" t="s">
        <v>3055</v>
      </c>
      <c r="I44" s="1703"/>
      <c r="J44" s="1703"/>
      <c r="K44" s="1703"/>
      <c r="L44" s="1703"/>
      <c r="M44" s="1703"/>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704"/>
      <c r="B47" s="1704"/>
      <c r="C47" s="1704"/>
      <c r="D47" s="1704"/>
      <c r="E47" s="1704"/>
      <c r="F47" s="1704"/>
      <c r="G47" s="787"/>
      <c r="H47" s="1705"/>
      <c r="I47" s="1705"/>
      <c r="J47" s="1705"/>
      <c r="K47" s="1705"/>
      <c r="L47" s="1705"/>
      <c r="M47" s="1705"/>
    </row>
    <row r="48" spans="1:13" ht="12" customHeight="1">
      <c r="A48" s="1703" t="s">
        <v>1518</v>
      </c>
      <c r="B48" s="1703"/>
      <c r="C48" s="1703"/>
      <c r="D48" s="1703"/>
      <c r="E48" s="1703"/>
      <c r="F48" s="1703"/>
      <c r="G48" s="787"/>
      <c r="H48" s="1703" t="s">
        <v>1519</v>
      </c>
      <c r="I48" s="1703"/>
      <c r="J48" s="1703"/>
      <c r="K48" s="1703"/>
      <c r="L48" s="1703"/>
      <c r="M48" s="1703"/>
    </row>
    <row r="49" spans="1:13" ht="11.4" customHeight="1">
      <c r="A49" s="1699"/>
      <c r="B49" s="1699"/>
      <c r="C49" s="1699"/>
      <c r="D49" s="1699"/>
      <c r="E49" s="1699"/>
      <c r="F49" s="1699"/>
      <c r="G49" s="1699"/>
      <c r="H49" s="1699"/>
      <c r="I49" s="1699"/>
      <c r="J49" s="1699"/>
      <c r="K49" s="1699"/>
      <c r="L49" s="1699"/>
      <c r="M49" s="1699"/>
    </row>
    <row r="50" spans="1:13" ht="11.4" customHeight="1">
      <c r="A50" s="782"/>
      <c r="B50" s="782"/>
      <c r="C50" s="782"/>
      <c r="D50" s="782"/>
      <c r="E50" s="782"/>
      <c r="F50" s="782"/>
      <c r="G50" s="782"/>
      <c r="H50" s="1702" t="s">
        <v>1520</v>
      </c>
      <c r="I50" s="1702"/>
      <c r="J50" s="1702"/>
      <c r="K50" s="1702"/>
      <c r="L50" s="1702"/>
      <c r="M50" s="1702"/>
    </row>
    <row r="51" spans="1:13" ht="11.4" customHeight="1">
      <c r="A51" s="782"/>
      <c r="B51" s="782"/>
      <c r="C51" s="782"/>
      <c r="D51" s="782"/>
      <c r="E51" s="782"/>
      <c r="F51" s="782"/>
      <c r="G51" s="782"/>
    </row>
    <row r="52" spans="1:13" ht="11.4" customHeight="1">
      <c r="A52" s="782"/>
      <c r="B52" s="782"/>
      <c r="C52" s="782"/>
      <c r="D52" s="782"/>
      <c r="E52" s="782"/>
      <c r="F52" s="782"/>
      <c r="G52" s="782"/>
      <c r="H52" s="782"/>
      <c r="I52" s="782"/>
      <c r="J52" s="782"/>
      <c r="K52" s="782"/>
      <c r="L52" s="782"/>
      <c r="M52" s="782"/>
    </row>
    <row r="53" spans="1:13" ht="11.4" customHeight="1">
      <c r="A53" s="782"/>
      <c r="B53" s="782"/>
      <c r="C53" s="782"/>
      <c r="D53" s="782"/>
      <c r="E53" s="782"/>
      <c r="F53" s="782"/>
      <c r="G53" s="782"/>
      <c r="H53" s="782"/>
      <c r="I53" s="782"/>
      <c r="J53" s="782"/>
      <c r="K53" s="782"/>
      <c r="L53" s="782"/>
      <c r="M53" s="782"/>
    </row>
    <row r="54" spans="1:13" ht="11.4" customHeight="1"/>
    <row r="55" spans="1:13" ht="11.4" customHeight="1"/>
    <row r="56" spans="1:13" ht="11.4" customHeight="1"/>
    <row r="57" spans="1:13" ht="11.4" customHeight="1"/>
    <row r="58" spans="1:13" ht="11.4" customHeight="1"/>
  </sheetData>
  <sheetProtection password="DC20" sheet="1" objects="1" scenarios="1" formatCells="0" formatColumns="0" formatRows="0" insertColumns="0"/>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8" zoomScale="120" workbookViewId="0">
      <selection activeCell="K85" sqref="K85"/>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709" t="s">
        <v>1089</v>
      </c>
      <c r="B2" s="1710"/>
      <c r="C2" s="1710"/>
      <c r="D2" s="1710"/>
      <c r="E2" s="1710"/>
      <c r="F2" s="1710"/>
      <c r="G2" s="1710"/>
      <c r="H2" s="1710"/>
      <c r="I2" s="1710"/>
      <c r="J2" s="1710"/>
      <c r="K2" s="1710"/>
      <c r="L2" s="1710"/>
      <c r="M2" s="1710"/>
      <c r="N2" s="1710"/>
      <c r="O2" s="1710"/>
      <c r="P2" s="1710"/>
      <c r="Q2" s="1710"/>
      <c r="R2" s="1711"/>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 customHeight="1">
      <c r="A8" s="243"/>
      <c r="B8" s="243"/>
      <c r="C8" s="243"/>
      <c r="D8" s="241"/>
      <c r="E8" s="241"/>
      <c r="F8" s="243" t="s">
        <v>3650</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3611</v>
      </c>
      <c r="K9" s="243"/>
      <c r="L9" s="243"/>
      <c r="M9" s="243"/>
      <c r="N9" s="243"/>
      <c r="O9" s="243"/>
      <c r="P9" s="241"/>
      <c r="Q9" s="424" t="s">
        <v>2759</v>
      </c>
      <c r="R9" s="747">
        <v>0.25</v>
      </c>
      <c r="S9" s="241"/>
      <c r="T9" s="241"/>
      <c r="U9" s="241"/>
      <c r="V9" s="425"/>
      <c r="W9" s="425"/>
      <c r="X9" s="244"/>
    </row>
    <row r="10" spans="1:26" s="418" customFormat="1" ht="11.4" customHeight="1">
      <c r="A10" s="243"/>
      <c r="B10" s="243"/>
      <c r="C10" s="243"/>
      <c r="D10" s="241"/>
      <c r="E10" s="241"/>
      <c r="F10" s="243"/>
      <c r="G10" s="243"/>
      <c r="H10" s="241"/>
      <c r="I10" s="241"/>
      <c r="J10" s="428" t="s">
        <v>715</v>
      </c>
      <c r="K10" s="428" t="s">
        <v>3685</v>
      </c>
      <c r="L10" s="428" t="s">
        <v>3686</v>
      </c>
      <c r="M10" s="428" t="s">
        <v>3687</v>
      </c>
      <c r="N10" s="428" t="s">
        <v>3688</v>
      </c>
      <c r="O10" s="243"/>
      <c r="P10" s="241"/>
      <c r="Q10" s="429"/>
      <c r="R10" s="429"/>
      <c r="S10" s="426"/>
      <c r="T10" s="426"/>
      <c r="U10" s="241"/>
      <c r="V10" s="427"/>
      <c r="W10" s="427"/>
      <c r="X10" s="427"/>
    </row>
    <row r="11" spans="1:26" s="418" customFormat="1" ht="11.4"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7108451</v>
      </c>
      <c r="S11" s="452" t="s">
        <v>1347</v>
      </c>
      <c r="T11" s="426"/>
      <c r="U11" s="241"/>
      <c r="V11" s="427"/>
      <c r="W11" s="427"/>
      <c r="X11" s="427"/>
    </row>
    <row r="12" spans="1:26" s="418" customFormat="1" ht="11.4"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8530148</v>
      </c>
      <c r="S12" s="452" t="s">
        <v>1347</v>
      </c>
      <c r="T12" s="241"/>
      <c r="U12" s="241"/>
      <c r="V12" s="427"/>
      <c r="W12" s="427"/>
      <c r="X12" s="427"/>
    </row>
    <row r="13" spans="1:26" s="418" customFormat="1" ht="11.4"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7819291</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 customHeight="1">
      <c r="A18" s="243"/>
      <c r="B18" s="243"/>
      <c r="C18" s="243"/>
      <c r="D18" s="241"/>
      <c r="E18" s="241"/>
      <c r="F18" s="243" t="s">
        <v>2969</v>
      </c>
      <c r="G18" s="243"/>
      <c r="H18" s="241"/>
      <c r="I18" s="241"/>
      <c r="J18" s="243" t="s">
        <v>2280</v>
      </c>
      <c r="K18" s="243"/>
      <c r="L18" s="243"/>
      <c r="M18" s="243"/>
      <c r="N18" s="243"/>
      <c r="O18" s="243"/>
      <c r="P18" s="241"/>
      <c r="Q18" s="245">
        <v>3000</v>
      </c>
      <c r="R18" s="433" t="s">
        <v>2759</v>
      </c>
      <c r="S18" s="434"/>
    </row>
    <row r="19" spans="1:21" s="418" customFormat="1" ht="11.4"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1856</v>
      </c>
      <c r="C26" s="243"/>
      <c r="D26" s="243"/>
      <c r="E26" s="241"/>
      <c r="F26" s="246" t="s">
        <v>1857</v>
      </c>
      <c r="G26" s="243"/>
      <c r="H26" s="241"/>
      <c r="I26" s="241"/>
      <c r="J26" s="243" t="s">
        <v>1858</v>
      </c>
      <c r="K26" s="243"/>
      <c r="L26" s="243"/>
      <c r="M26" s="243"/>
      <c r="N26" s="243"/>
      <c r="O26" s="243"/>
      <c r="P26" s="241"/>
      <c r="Q26" s="1706">
        <v>4000</v>
      </c>
      <c r="R26" s="1707"/>
      <c r="S26" s="434"/>
      <c r="T26" s="434"/>
      <c r="U26" s="434"/>
    </row>
    <row r="27" spans="1:21" s="418" customFormat="1" ht="11.4" customHeight="1">
      <c r="A27" s="243"/>
      <c r="B27" s="243"/>
      <c r="C27" s="243"/>
      <c r="D27" s="243"/>
      <c r="E27" s="241"/>
      <c r="F27" s="246" t="s">
        <v>1857</v>
      </c>
      <c r="G27" s="243"/>
      <c r="H27" s="241"/>
      <c r="I27" s="241"/>
      <c r="J27" s="243" t="s">
        <v>1859</v>
      </c>
      <c r="K27" s="243"/>
      <c r="L27" s="243"/>
      <c r="M27" s="243"/>
      <c r="N27" s="243"/>
      <c r="O27" s="243"/>
      <c r="P27" s="241"/>
      <c r="Q27" s="1706">
        <v>3000</v>
      </c>
      <c r="R27" s="1707"/>
      <c r="S27" s="434"/>
      <c r="T27" s="434"/>
      <c r="U27" s="434"/>
    </row>
    <row r="28" spans="1:21" s="418" customFormat="1" ht="11.4" customHeight="1">
      <c r="A28" s="241"/>
      <c r="B28" s="241"/>
      <c r="C28" s="243"/>
      <c r="D28" s="243"/>
      <c r="E28" s="241"/>
      <c r="F28" s="246" t="s">
        <v>1860</v>
      </c>
      <c r="G28" s="243"/>
      <c r="H28" s="241"/>
      <c r="I28" s="241"/>
      <c r="J28" s="243" t="s">
        <v>1858</v>
      </c>
      <c r="K28" s="243"/>
      <c r="L28" s="243"/>
      <c r="M28" s="243"/>
      <c r="N28" s="243"/>
      <c r="O28" s="243"/>
      <c r="P28" s="241"/>
      <c r="Q28" s="1706">
        <v>1000</v>
      </c>
      <c r="R28" s="1707"/>
      <c r="S28" s="434"/>
      <c r="T28" s="434"/>
      <c r="U28" s="434"/>
    </row>
    <row r="29" spans="1:21" s="418" customFormat="1" ht="11.4" customHeight="1">
      <c r="A29" s="243"/>
      <c r="B29" s="243"/>
      <c r="C29" s="243"/>
      <c r="D29" s="243"/>
      <c r="E29" s="241"/>
      <c r="F29" s="246" t="s">
        <v>1860</v>
      </c>
      <c r="G29" s="243"/>
      <c r="H29" s="241"/>
      <c r="I29" s="241"/>
      <c r="J29" s="243" t="s">
        <v>1859</v>
      </c>
      <c r="K29" s="243"/>
      <c r="L29" s="243"/>
      <c r="M29" s="243"/>
      <c r="N29" s="243"/>
      <c r="O29" s="243"/>
      <c r="P29" s="241"/>
      <c r="Q29" s="1706">
        <v>500</v>
      </c>
      <c r="R29" s="1707"/>
      <c r="S29" s="434"/>
      <c r="T29" s="434"/>
      <c r="U29" s="434"/>
    </row>
    <row r="30" spans="1:21" s="418" customFormat="1" ht="11.4" customHeight="1">
      <c r="A30" s="243"/>
      <c r="B30" s="243"/>
      <c r="C30" s="243"/>
      <c r="D30" s="243"/>
      <c r="E30" s="241"/>
      <c r="F30" s="246" t="s">
        <v>1250</v>
      </c>
      <c r="G30" s="243"/>
      <c r="H30" s="241"/>
      <c r="I30" s="241"/>
      <c r="J30" s="243" t="s">
        <v>1858</v>
      </c>
      <c r="K30" s="243"/>
      <c r="L30" s="243"/>
      <c r="M30" s="243"/>
      <c r="N30" s="243"/>
      <c r="O30" s="243"/>
      <c r="P30" s="241"/>
      <c r="Q30" s="1706">
        <v>5000</v>
      </c>
      <c r="R30" s="1707"/>
      <c r="S30" s="434"/>
      <c r="T30" s="434"/>
      <c r="U30" s="434"/>
    </row>
    <row r="31" spans="1:21" s="418" customFormat="1" ht="11.4" customHeight="1">
      <c r="A31" s="243"/>
      <c r="B31" s="243"/>
      <c r="C31" s="243"/>
      <c r="D31" s="243"/>
      <c r="E31" s="241"/>
      <c r="F31" s="246" t="s">
        <v>1250</v>
      </c>
      <c r="G31" s="243"/>
      <c r="H31" s="241"/>
      <c r="I31" s="241"/>
      <c r="J31" s="243" t="s">
        <v>1859</v>
      </c>
      <c r="K31" s="243"/>
      <c r="L31" s="243"/>
      <c r="M31" s="243"/>
      <c r="N31" s="243"/>
      <c r="O31" s="243"/>
      <c r="P31" s="241"/>
      <c r="Q31" s="1706">
        <v>3500</v>
      </c>
      <c r="R31" s="1707"/>
      <c r="S31" s="434"/>
      <c r="T31" s="434"/>
      <c r="U31" s="434"/>
    </row>
    <row r="32" spans="1:21" s="418" customFormat="1" ht="11.4"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 customHeight="1">
      <c r="A34" s="243"/>
      <c r="B34" s="243" t="s">
        <v>3036</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 customHeight="1">
      <c r="A35" s="243"/>
      <c r="B35" s="243"/>
      <c r="C35" s="243"/>
      <c r="D35" s="241"/>
      <c r="E35" s="241"/>
      <c r="F35" s="243"/>
      <c r="G35" s="243"/>
      <c r="H35" s="241"/>
      <c r="I35" s="241"/>
      <c r="J35" s="243" t="s">
        <v>3111</v>
      </c>
      <c r="K35" s="243"/>
      <c r="L35" s="243"/>
      <c r="M35" s="243"/>
      <c r="N35" s="243"/>
      <c r="O35" s="243"/>
      <c r="P35" s="241"/>
      <c r="Q35" s="747" t="s">
        <v>1579</v>
      </c>
      <c r="R35" s="424">
        <v>500000</v>
      </c>
      <c r="S35" s="434"/>
      <c r="T35" s="434"/>
      <c r="U35" s="434"/>
    </row>
    <row r="36" spans="1:21" s="418" customFormat="1" ht="11.4"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 customHeight="1">
      <c r="A37" s="243"/>
      <c r="B37" s="243"/>
      <c r="C37" s="243"/>
      <c r="D37" s="241"/>
      <c r="E37" s="241"/>
      <c r="F37" s="243"/>
      <c r="G37" s="243"/>
      <c r="H37" s="241"/>
      <c r="I37" s="241"/>
      <c r="J37" s="243" t="s">
        <v>3111</v>
      </c>
      <c r="K37" s="243"/>
      <c r="L37" s="243"/>
      <c r="M37" s="243"/>
      <c r="N37" s="243"/>
      <c r="O37" s="243"/>
      <c r="P37" s="241"/>
      <c r="Q37" s="747" t="s">
        <v>1579</v>
      </c>
      <c r="R37" s="424">
        <v>500000</v>
      </c>
      <c r="S37" s="434"/>
      <c r="T37" s="434"/>
      <c r="U37" s="434"/>
    </row>
    <row r="38" spans="1:21" s="418" customFormat="1" ht="11.4" customHeight="1">
      <c r="A38" s="243"/>
      <c r="B38" s="243" t="s">
        <v>3126</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 customHeight="1">
      <c r="A39" s="243"/>
      <c r="B39" s="243" t="s">
        <v>3127</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 customHeight="1">
      <c r="A41" s="243"/>
      <c r="B41" s="246" t="s">
        <v>1542</v>
      </c>
      <c r="C41" s="243"/>
      <c r="D41" s="241"/>
      <c r="E41" s="241"/>
      <c r="F41" s="243" t="s">
        <v>1543</v>
      </c>
      <c r="G41" s="243"/>
      <c r="H41" s="241"/>
      <c r="I41" s="241"/>
      <c r="J41" s="243" t="s">
        <v>1544</v>
      </c>
      <c r="K41" s="243"/>
      <c r="L41" s="243"/>
      <c r="M41" s="243"/>
      <c r="N41" s="243"/>
      <c r="O41" s="243"/>
      <c r="P41" s="241"/>
      <c r="Q41" s="1708">
        <v>7.0000000000000007E-2</v>
      </c>
      <c r="R41" s="1708"/>
      <c r="S41" s="434"/>
      <c r="T41" s="434"/>
      <c r="U41" s="434"/>
    </row>
    <row r="42" spans="1:21" s="418" customFormat="1" ht="11.4" customHeight="1">
      <c r="A42" s="243"/>
      <c r="B42" s="246" t="s">
        <v>1545</v>
      </c>
      <c r="C42" s="243"/>
      <c r="D42" s="241"/>
      <c r="E42" s="241"/>
      <c r="F42" s="243" t="s">
        <v>1543</v>
      </c>
      <c r="G42" s="243"/>
      <c r="H42" s="241"/>
      <c r="I42" s="241"/>
      <c r="J42" s="243" t="s">
        <v>1544</v>
      </c>
      <c r="K42" s="243"/>
      <c r="L42" s="243"/>
      <c r="M42" s="243"/>
      <c r="N42" s="243"/>
      <c r="O42" s="243"/>
      <c r="P42" s="241"/>
      <c r="Q42" s="1708">
        <v>7.0000000000000007E-2</v>
      </c>
      <c r="R42" s="1708"/>
      <c r="S42" s="434"/>
      <c r="T42" s="434"/>
      <c r="U42" s="434"/>
    </row>
    <row r="43" spans="1:21" s="418" customFormat="1" ht="11.4" customHeight="1">
      <c r="A43" s="243"/>
      <c r="B43" s="246" t="s">
        <v>695</v>
      </c>
      <c r="C43" s="243"/>
      <c r="D43" s="241"/>
      <c r="E43" s="241"/>
      <c r="F43" s="243"/>
      <c r="G43" s="243"/>
      <c r="H43" s="241"/>
      <c r="I43" s="241"/>
      <c r="J43" s="243"/>
      <c r="K43" s="243"/>
      <c r="L43" s="243"/>
      <c r="M43" s="243"/>
      <c r="N43" s="243"/>
      <c r="O43" s="243"/>
      <c r="P43" s="241"/>
      <c r="Q43" s="1706">
        <v>2700</v>
      </c>
      <c r="R43" s="1707"/>
      <c r="S43" s="434"/>
      <c r="T43" s="434"/>
      <c r="U43" s="434"/>
    </row>
    <row r="44" spans="1:21" s="418" customFormat="1" ht="11.4"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 customHeight="1">
      <c r="A46" s="243"/>
      <c r="B46" s="243" t="s">
        <v>2915</v>
      </c>
      <c r="C46" s="243"/>
      <c r="D46" s="241"/>
      <c r="E46" s="241"/>
      <c r="F46" s="243"/>
      <c r="G46" s="243"/>
      <c r="H46" s="243"/>
      <c r="I46" s="241"/>
      <c r="J46" s="243" t="s">
        <v>2756</v>
      </c>
      <c r="K46" s="243"/>
      <c r="L46" s="243"/>
      <c r="M46" s="243"/>
      <c r="N46" s="243"/>
      <c r="O46" s="243"/>
      <c r="P46" s="241"/>
      <c r="Q46" s="1706">
        <v>1800000</v>
      </c>
      <c r="R46" s="1707"/>
      <c r="S46" s="434"/>
      <c r="T46" s="434"/>
      <c r="U46" s="434"/>
    </row>
    <row r="47" spans="1:21" s="418" customFormat="1" ht="11.4" customHeight="1">
      <c r="A47" s="243"/>
      <c r="B47" s="243"/>
      <c r="C47" s="243"/>
      <c r="D47" s="241"/>
      <c r="E47" s="241"/>
      <c r="F47" s="243" t="s">
        <v>2737</v>
      </c>
      <c r="G47" s="243"/>
      <c r="H47" s="243" t="s">
        <v>3434</v>
      </c>
      <c r="I47" s="241"/>
      <c r="J47" s="243" t="s">
        <v>1585</v>
      </c>
      <c r="K47" s="243"/>
      <c r="L47" s="243"/>
      <c r="M47" s="243"/>
      <c r="N47" s="243"/>
      <c r="O47" s="243"/>
      <c r="P47" s="241"/>
      <c r="Q47" s="1708">
        <v>0.15</v>
      </c>
      <c r="R47" s="1708"/>
      <c r="S47" s="434"/>
      <c r="T47" s="434"/>
      <c r="U47" s="434"/>
    </row>
    <row r="48" spans="1:21" s="418" customFormat="1" ht="11.4" customHeight="1">
      <c r="A48" s="243"/>
      <c r="B48" s="583"/>
      <c r="C48" s="243"/>
      <c r="D48" s="241"/>
      <c r="E48" s="241"/>
      <c r="F48" s="243"/>
      <c r="G48" s="243"/>
      <c r="H48" s="243" t="s">
        <v>1581</v>
      </c>
      <c r="I48" s="243" t="s">
        <v>1582</v>
      </c>
      <c r="J48" s="243" t="s">
        <v>1584</v>
      </c>
      <c r="K48" s="243"/>
      <c r="L48" s="243"/>
      <c r="M48" s="243"/>
      <c r="N48" s="243"/>
      <c r="O48" s="243"/>
      <c r="P48" s="241"/>
      <c r="Q48" s="1708">
        <v>0.15</v>
      </c>
      <c r="R48" s="1708"/>
      <c r="S48" s="434"/>
      <c r="T48" s="434"/>
      <c r="U48" s="434"/>
    </row>
    <row r="49" spans="1:21" s="418" customFormat="1" ht="11.4" customHeight="1">
      <c r="A49" s="243"/>
      <c r="B49" s="583"/>
      <c r="C49" s="243"/>
      <c r="D49" s="241"/>
      <c r="E49" s="241"/>
      <c r="F49" s="243"/>
      <c r="G49" s="243"/>
      <c r="H49" s="243"/>
      <c r="I49" s="243" t="s">
        <v>1583</v>
      </c>
      <c r="J49" s="243" t="s">
        <v>1586</v>
      </c>
      <c r="K49" s="243"/>
      <c r="L49" s="243"/>
      <c r="M49" s="243"/>
      <c r="N49" s="243"/>
      <c r="O49" s="243"/>
      <c r="P49" s="241"/>
      <c r="Q49" s="1708">
        <v>0.15</v>
      </c>
      <c r="R49" s="1708"/>
      <c r="S49" s="434"/>
      <c r="T49" s="434"/>
      <c r="U49" s="434"/>
    </row>
    <row r="50" spans="1:21" s="418" customFormat="1" ht="11.4" customHeight="1">
      <c r="A50" s="243"/>
      <c r="B50" s="583"/>
      <c r="C50" s="243"/>
      <c r="D50" s="241"/>
      <c r="E50" s="241"/>
      <c r="F50" s="243"/>
      <c r="G50" s="243"/>
      <c r="H50" s="243" t="s">
        <v>1580</v>
      </c>
      <c r="I50" s="241"/>
      <c r="J50" s="243" t="s">
        <v>1586</v>
      </c>
      <c r="K50" s="243"/>
      <c r="L50" s="243"/>
      <c r="M50" s="243"/>
      <c r="N50" s="243"/>
      <c r="O50" s="243"/>
      <c r="P50" s="241"/>
      <c r="Q50" s="1708">
        <v>0.15</v>
      </c>
      <c r="R50" s="1708"/>
      <c r="S50" s="434"/>
      <c r="T50" s="434"/>
      <c r="U50" s="434"/>
    </row>
    <row r="51" spans="1:21" s="418" customFormat="1" ht="11.4" customHeight="1">
      <c r="A51" s="243"/>
      <c r="B51" s="583"/>
      <c r="C51" s="243"/>
      <c r="D51" s="241"/>
      <c r="E51" s="241"/>
      <c r="F51" s="243"/>
      <c r="G51" s="243"/>
      <c r="H51" s="243"/>
      <c r="I51" s="243" t="s">
        <v>1587</v>
      </c>
      <c r="J51" s="243" t="s">
        <v>1588</v>
      </c>
      <c r="K51" s="243"/>
      <c r="L51" s="243"/>
      <c r="M51" s="243"/>
      <c r="N51" s="243"/>
      <c r="O51" s="243"/>
      <c r="P51" s="241"/>
      <c r="Q51" s="1708">
        <v>0.15</v>
      </c>
      <c r="R51" s="1708"/>
      <c r="S51" s="434"/>
      <c r="T51" s="434"/>
      <c r="U51" s="434"/>
    </row>
    <row r="52" spans="1:21" s="418" customFormat="1" ht="11.4" customHeight="1">
      <c r="A52" s="243"/>
      <c r="B52" s="583"/>
      <c r="C52" s="243"/>
      <c r="D52" s="241"/>
      <c r="E52" s="241"/>
      <c r="F52" s="243" t="s">
        <v>2786</v>
      </c>
      <c r="G52" s="243"/>
      <c r="H52" s="243"/>
      <c r="I52" s="241"/>
      <c r="J52" s="243" t="s">
        <v>3583</v>
      </c>
      <c r="K52" s="243"/>
      <c r="L52" s="243"/>
      <c r="M52" s="243"/>
      <c r="N52" s="243"/>
      <c r="O52" s="243"/>
      <c r="P52" s="241"/>
      <c r="Q52" s="1708">
        <v>0.15</v>
      </c>
      <c r="R52" s="1708"/>
      <c r="S52" s="434"/>
      <c r="T52" s="434"/>
      <c r="U52" s="434"/>
    </row>
    <row r="53" spans="1:21" s="418" customFormat="1" ht="11.4" customHeight="1">
      <c r="A53" s="243"/>
      <c r="B53" s="583"/>
      <c r="C53" s="243"/>
      <c r="D53" s="241"/>
      <c r="E53" s="241"/>
      <c r="G53" s="243"/>
      <c r="H53" s="243"/>
      <c r="I53" s="241"/>
      <c r="J53" s="243" t="s">
        <v>3584</v>
      </c>
      <c r="K53" s="243"/>
      <c r="L53" s="243"/>
      <c r="M53" s="243"/>
      <c r="N53" s="243"/>
      <c r="O53" s="243"/>
      <c r="P53" s="241"/>
      <c r="Q53" s="1708" t="s">
        <v>3585</v>
      </c>
      <c r="R53" s="1708"/>
      <c r="S53" s="434"/>
      <c r="T53" s="434"/>
      <c r="U53" s="434"/>
    </row>
    <row r="54" spans="1:21" s="418" customFormat="1" ht="11.4"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 customHeight="1">
      <c r="A58" s="243"/>
      <c r="B58" s="587" t="s">
        <v>3114</v>
      </c>
      <c r="C58" s="243"/>
      <c r="D58" s="241"/>
      <c r="E58" s="241"/>
      <c r="F58" s="243"/>
      <c r="G58" s="243"/>
      <c r="I58" s="241"/>
      <c r="J58" s="243" t="s">
        <v>3115</v>
      </c>
      <c r="K58" s="243"/>
      <c r="L58" s="243"/>
      <c r="M58" s="243"/>
      <c r="N58" s="243"/>
      <c r="O58" s="243"/>
      <c r="P58" s="241"/>
      <c r="Q58" s="436">
        <v>3</v>
      </c>
      <c r="R58" s="433" t="s">
        <v>2759</v>
      </c>
      <c r="S58" s="434"/>
      <c r="T58" s="434"/>
      <c r="U58" s="434"/>
    </row>
    <row r="59" spans="1:21" s="418" customFormat="1" ht="11.4" customHeight="1">
      <c r="A59" s="243"/>
      <c r="B59" s="246" t="s">
        <v>2790</v>
      </c>
      <c r="C59" s="243"/>
      <c r="D59" s="241"/>
      <c r="E59" s="243"/>
      <c r="F59" s="243"/>
      <c r="G59" s="243"/>
      <c r="H59" s="241"/>
      <c r="I59" s="241"/>
      <c r="J59" s="243" t="s">
        <v>2791</v>
      </c>
      <c r="K59" s="243"/>
      <c r="L59" s="243"/>
      <c r="M59" s="243"/>
      <c r="N59" s="243"/>
      <c r="O59" s="243"/>
      <c r="P59" s="241"/>
      <c r="Q59" s="1706">
        <v>3000</v>
      </c>
      <c r="R59" s="1707"/>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3653</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 customHeight="1">
      <c r="A64" s="243"/>
      <c r="B64" s="243" t="s">
        <v>2793</v>
      </c>
      <c r="C64" s="243"/>
      <c r="D64" s="243"/>
      <c r="E64" s="243"/>
      <c r="F64" s="243"/>
      <c r="G64" s="243"/>
      <c r="H64" s="243"/>
      <c r="J64" s="243" t="s">
        <v>2794</v>
      </c>
      <c r="K64" s="243"/>
      <c r="L64" s="243"/>
      <c r="M64" s="243"/>
      <c r="N64" s="243"/>
      <c r="O64" s="243"/>
      <c r="Q64" s="1708">
        <v>0.02</v>
      </c>
      <c r="R64" s="1708"/>
    </row>
    <row r="65" spans="1:21" s="434" customFormat="1" ht="11.4" customHeight="1">
      <c r="A65" s="243"/>
      <c r="B65" s="243" t="s">
        <v>2795</v>
      </c>
      <c r="C65" s="243"/>
      <c r="D65" s="243"/>
      <c r="E65" s="243"/>
      <c r="F65" s="243"/>
      <c r="G65" s="243"/>
      <c r="H65" s="243"/>
      <c r="J65" s="243" t="s">
        <v>2794</v>
      </c>
      <c r="K65" s="243"/>
      <c r="L65" s="243"/>
      <c r="M65" s="243"/>
      <c r="N65" s="243"/>
      <c r="O65" s="243"/>
      <c r="Q65" s="1708">
        <v>7.0000000000000007E-2</v>
      </c>
      <c r="R65" s="1708"/>
    </row>
    <row r="66" spans="1:21" s="434" customFormat="1" ht="11.4" customHeight="1">
      <c r="A66" s="243"/>
      <c r="B66" s="243" t="s">
        <v>2796</v>
      </c>
      <c r="C66" s="243"/>
      <c r="D66" s="243"/>
      <c r="E66" s="243"/>
      <c r="F66" s="243"/>
      <c r="G66" s="243"/>
      <c r="H66" s="243"/>
      <c r="J66" s="243" t="s">
        <v>2794</v>
      </c>
      <c r="K66" s="243"/>
      <c r="L66" s="243"/>
      <c r="M66" s="243"/>
      <c r="N66" s="243"/>
      <c r="O66" s="243"/>
      <c r="Q66" s="1708">
        <v>7.0000000000000007E-2</v>
      </c>
      <c r="R66" s="1708"/>
    </row>
    <row r="67" spans="1:21" s="418" customFormat="1" ht="11.4" customHeight="1">
      <c r="A67" s="243"/>
      <c r="B67" s="243" t="s">
        <v>157</v>
      </c>
      <c r="C67" s="243"/>
      <c r="D67" s="241"/>
      <c r="E67" s="241"/>
      <c r="F67" s="241"/>
      <c r="G67" s="243"/>
      <c r="H67" s="241"/>
      <c r="I67" s="241"/>
      <c r="J67" s="243" t="s">
        <v>2794</v>
      </c>
      <c r="K67" s="243"/>
      <c r="L67" s="243"/>
      <c r="M67" s="243"/>
      <c r="N67" s="243"/>
      <c r="O67" s="243"/>
      <c r="P67" s="241"/>
      <c r="Q67" s="1708">
        <v>0.03</v>
      </c>
      <c r="R67" s="1708"/>
      <c r="S67" s="434"/>
      <c r="T67" s="434"/>
      <c r="U67" s="434"/>
    </row>
    <row r="68" spans="1:21" s="418" customFormat="1" ht="11.4" customHeight="1">
      <c r="A68" s="243"/>
      <c r="B68" s="243" t="s">
        <v>158</v>
      </c>
      <c r="C68" s="243"/>
      <c r="D68" s="241"/>
      <c r="E68" s="241"/>
      <c r="F68" s="241"/>
      <c r="G68" s="243"/>
      <c r="H68" s="241"/>
      <c r="I68" s="241"/>
      <c r="J68" s="243" t="s">
        <v>2794</v>
      </c>
      <c r="K68" s="243"/>
      <c r="L68" s="243"/>
      <c r="M68" s="243"/>
      <c r="N68" s="243"/>
      <c r="O68" s="243"/>
      <c r="P68" s="241"/>
      <c r="Q68" s="1708">
        <v>0.03</v>
      </c>
      <c r="R68" s="1708"/>
      <c r="S68" s="434"/>
      <c r="T68" s="434"/>
      <c r="U68" s="434"/>
    </row>
    <row r="69" spans="1:21" s="418" customFormat="1" ht="11.4" customHeight="1">
      <c r="A69" s="243"/>
      <c r="B69" s="243" t="s">
        <v>159</v>
      </c>
      <c r="C69" s="243"/>
      <c r="D69" s="241"/>
      <c r="E69" s="241"/>
      <c r="F69" s="241"/>
      <c r="G69" s="243"/>
      <c r="H69" s="241"/>
      <c r="I69" s="241"/>
      <c r="J69" s="243" t="s">
        <v>2794</v>
      </c>
      <c r="K69" s="243"/>
      <c r="L69" s="243"/>
      <c r="M69" s="243"/>
      <c r="N69" s="243"/>
      <c r="O69" s="243"/>
      <c r="P69" s="241"/>
      <c r="Q69" s="1708">
        <v>0</v>
      </c>
      <c r="R69" s="1708"/>
      <c r="S69" s="434"/>
      <c r="T69" s="434"/>
      <c r="U69" s="434"/>
    </row>
    <row r="70" spans="1:21" ht="3" customHeight="1"/>
    <row r="71" spans="1:21" ht="10.95" customHeight="1"/>
    <row r="73" spans="1:21" ht="13.2" customHeight="1">
      <c r="C73" s="440"/>
      <c r="D73" s="440"/>
      <c r="E73" s="440"/>
      <c r="F73" s="440"/>
      <c r="G73" s="440"/>
      <c r="H73" s="440"/>
      <c r="I73" s="440"/>
    </row>
    <row r="75" spans="1:21" ht="13.8">
      <c r="D75" s="644">
        <v>2010</v>
      </c>
      <c r="J75" s="775" t="s">
        <v>1385</v>
      </c>
      <c r="K75" s="775"/>
      <c r="L75" s="398"/>
    </row>
    <row r="76" spans="1:21" ht="13.8">
      <c r="C76" s="576" t="s">
        <v>1962</v>
      </c>
      <c r="D76" s="579" t="s">
        <v>1657</v>
      </c>
      <c r="J76" s="776" t="s">
        <v>1388</v>
      </c>
      <c r="K76" s="776" t="s">
        <v>1386</v>
      </c>
      <c r="L76" s="580" t="s">
        <v>1387</v>
      </c>
    </row>
    <row r="77" spans="1:21" ht="9" customHeight="1">
      <c r="C77" s="577" t="s">
        <v>2810</v>
      </c>
      <c r="D77" s="777">
        <v>48600</v>
      </c>
      <c r="J77" s="427">
        <v>0</v>
      </c>
      <c r="K77" s="427">
        <v>0.7</v>
      </c>
      <c r="L77" s="427">
        <v>1</v>
      </c>
    </row>
    <row r="78" spans="1:21" ht="9" customHeight="1">
      <c r="C78" s="577" t="s">
        <v>1658</v>
      </c>
      <c r="D78" s="777">
        <v>57700</v>
      </c>
      <c r="J78" s="427">
        <v>1</v>
      </c>
      <c r="K78" s="427">
        <v>0.75</v>
      </c>
      <c r="L78" s="427">
        <v>1.5</v>
      </c>
    </row>
    <row r="79" spans="1:21" ht="9" customHeight="1">
      <c r="C79" s="577" t="s">
        <v>1338</v>
      </c>
      <c r="D79" s="777">
        <v>71800</v>
      </c>
      <c r="J79" s="427">
        <v>2</v>
      </c>
      <c r="K79" s="427">
        <v>0.9</v>
      </c>
      <c r="L79" s="427">
        <v>3</v>
      </c>
    </row>
    <row r="80" spans="1:21" ht="9" customHeight="1">
      <c r="C80" s="577" t="s">
        <v>1339</v>
      </c>
      <c r="D80" s="777">
        <v>55600</v>
      </c>
      <c r="J80" s="427">
        <v>3</v>
      </c>
      <c r="K80" s="427">
        <v>1.04</v>
      </c>
      <c r="L80" s="427">
        <v>4.5</v>
      </c>
    </row>
    <row r="81" spans="3:12" ht="9" customHeight="1">
      <c r="C81" s="577" t="s">
        <v>13</v>
      </c>
      <c r="D81" s="777">
        <v>54700</v>
      </c>
      <c r="J81" s="427">
        <v>4</v>
      </c>
      <c r="K81" s="427">
        <v>1.1599999999999999</v>
      </c>
      <c r="L81" s="427">
        <v>6</v>
      </c>
    </row>
    <row r="82" spans="3:12" ht="9" customHeight="1">
      <c r="C82" s="577" t="s">
        <v>1659</v>
      </c>
      <c r="D82" s="777">
        <v>55900</v>
      </c>
      <c r="J82" s="427">
        <v>5</v>
      </c>
      <c r="K82" s="427">
        <v>1.28</v>
      </c>
      <c r="L82" s="427">
        <v>7.5</v>
      </c>
    </row>
    <row r="83" spans="3:12" ht="9" customHeight="1">
      <c r="C83" s="577" t="s">
        <v>2270</v>
      </c>
      <c r="D83" s="777">
        <v>55900</v>
      </c>
    </row>
    <row r="84" spans="3:12" ht="9" customHeight="1">
      <c r="C84" s="577" t="s">
        <v>217</v>
      </c>
      <c r="D84" s="777">
        <v>51800</v>
      </c>
    </row>
    <row r="85" spans="3:12" ht="9" customHeight="1">
      <c r="C85" s="577" t="s">
        <v>431</v>
      </c>
      <c r="D85" s="777">
        <v>52400</v>
      </c>
    </row>
    <row r="86" spans="3:12" ht="9" customHeight="1">
      <c r="C86" s="578" t="s">
        <v>1881</v>
      </c>
      <c r="D86" s="777">
        <v>60200</v>
      </c>
    </row>
    <row r="87" spans="3:12" ht="9" customHeight="1">
      <c r="C87" s="578" t="s">
        <v>1340</v>
      </c>
      <c r="D87" s="777">
        <v>47500</v>
      </c>
    </row>
    <row r="88" spans="3:12" ht="9" customHeight="1">
      <c r="C88" s="578" t="s">
        <v>1660</v>
      </c>
      <c r="D88" s="777">
        <v>44900</v>
      </c>
    </row>
    <row r="89" spans="3:12" ht="9" customHeight="1">
      <c r="C89" s="577" t="s">
        <v>1341</v>
      </c>
      <c r="D89" s="777">
        <v>54100</v>
      </c>
    </row>
    <row r="90" spans="3:12" ht="9" customHeight="1">
      <c r="C90" s="578" t="s">
        <v>2184</v>
      </c>
      <c r="D90" s="777">
        <v>40400</v>
      </c>
    </row>
    <row r="91" spans="3:12" ht="9" customHeight="1">
      <c r="C91" s="577" t="s">
        <v>2020</v>
      </c>
      <c r="D91" s="777">
        <v>53200</v>
      </c>
    </row>
    <row r="92" spans="3:12" ht="9" customHeight="1">
      <c r="C92" s="578" t="s">
        <v>1343</v>
      </c>
      <c r="D92" s="777">
        <v>47200</v>
      </c>
    </row>
    <row r="93" spans="3:12" ht="9" customHeight="1">
      <c r="C93" s="578" t="s">
        <v>3132</v>
      </c>
      <c r="D93" s="777">
        <v>63600</v>
      </c>
    </row>
    <row r="94" spans="3:12" ht="9" customHeight="1">
      <c r="C94" s="578" t="s">
        <v>3898</v>
      </c>
      <c r="D94" s="777">
        <v>52500</v>
      </c>
    </row>
    <row r="95" spans="3:12" ht="9" customHeight="1">
      <c r="C95" s="577" t="s">
        <v>3398</v>
      </c>
      <c r="D95" s="777">
        <v>52400</v>
      </c>
    </row>
    <row r="96" spans="3:12" ht="9" customHeight="1">
      <c r="C96" s="577" t="s">
        <v>2026</v>
      </c>
      <c r="D96" s="777">
        <v>59000</v>
      </c>
    </row>
    <row r="97" spans="3:4" ht="9" customHeight="1">
      <c r="C97" s="577" t="s">
        <v>2712</v>
      </c>
      <c r="D97" s="777">
        <v>48300</v>
      </c>
    </row>
    <row r="98" spans="3:4" ht="9" customHeight="1">
      <c r="C98" s="577" t="s">
        <v>2725</v>
      </c>
      <c r="D98" s="777">
        <v>66000</v>
      </c>
    </row>
    <row r="99" spans="3:4" ht="9" customHeight="1">
      <c r="C99" s="578" t="s">
        <v>1872</v>
      </c>
      <c r="D99" s="777">
        <v>43400</v>
      </c>
    </row>
    <row r="100" spans="3:4" ht="9" customHeight="1">
      <c r="C100" s="578" t="s">
        <v>2806</v>
      </c>
      <c r="D100" s="777">
        <v>40600</v>
      </c>
    </row>
    <row r="101" spans="3:4" ht="9" customHeight="1">
      <c r="C101" s="578" t="s">
        <v>2808</v>
      </c>
      <c r="D101" s="777">
        <v>40600</v>
      </c>
    </row>
    <row r="102" spans="3:4" ht="9" customHeight="1">
      <c r="C102" s="577" t="s">
        <v>212</v>
      </c>
      <c r="D102" s="777">
        <v>51900</v>
      </c>
    </row>
    <row r="103" spans="3:4" ht="9" customHeight="1">
      <c r="C103" s="578" t="s">
        <v>2012</v>
      </c>
      <c r="D103" s="777">
        <v>53700</v>
      </c>
    </row>
    <row r="104" spans="3:4" ht="9" customHeight="1">
      <c r="C104" s="578" t="s">
        <v>1661</v>
      </c>
      <c r="D104" s="777">
        <v>41100</v>
      </c>
    </row>
    <row r="105" spans="3:4" ht="9" customHeight="1">
      <c r="C105" s="578" t="s">
        <v>2018</v>
      </c>
      <c r="D105" s="777">
        <v>43100</v>
      </c>
    </row>
    <row r="106" spans="3:4" ht="9" customHeight="1">
      <c r="C106" s="577" t="s">
        <v>2022</v>
      </c>
      <c r="D106" s="777">
        <v>51100</v>
      </c>
    </row>
    <row r="107" spans="3:4" ht="9" customHeight="1">
      <c r="C107" s="577" t="s">
        <v>2028</v>
      </c>
      <c r="D107" s="777">
        <v>53600</v>
      </c>
    </row>
    <row r="108" spans="3:4" ht="9" customHeight="1">
      <c r="C108" s="578" t="s">
        <v>2033</v>
      </c>
      <c r="D108" s="777">
        <v>38600</v>
      </c>
    </row>
    <row r="109" spans="3:4" ht="9" customHeight="1">
      <c r="C109" s="577" t="s">
        <v>1218</v>
      </c>
      <c r="D109" s="777">
        <v>56000</v>
      </c>
    </row>
    <row r="110" spans="3:4" ht="9" customHeight="1">
      <c r="C110" s="578" t="s">
        <v>1220</v>
      </c>
      <c r="D110" s="777">
        <v>38200</v>
      </c>
    </row>
    <row r="111" spans="3:4" ht="9" customHeight="1">
      <c r="C111" s="578" t="s">
        <v>214</v>
      </c>
      <c r="D111" s="777">
        <v>41600</v>
      </c>
    </row>
    <row r="112" spans="3:4" ht="9" customHeight="1">
      <c r="C112" s="578" t="s">
        <v>219</v>
      </c>
      <c r="D112" s="777">
        <v>45100</v>
      </c>
    </row>
    <row r="113" spans="3:4" ht="9" customHeight="1">
      <c r="C113" s="578" t="s">
        <v>3756</v>
      </c>
      <c r="D113" s="777">
        <v>34600</v>
      </c>
    </row>
    <row r="114" spans="3:4" ht="9" customHeight="1">
      <c r="C114" s="578" t="s">
        <v>3759</v>
      </c>
      <c r="D114" s="777">
        <v>39500</v>
      </c>
    </row>
    <row r="115" spans="3:4" ht="9" customHeight="1">
      <c r="C115" s="578" t="s">
        <v>3762</v>
      </c>
      <c r="D115" s="777">
        <v>44700</v>
      </c>
    </row>
    <row r="116" spans="3:4" ht="9" customHeight="1">
      <c r="C116" s="578" t="s">
        <v>3814</v>
      </c>
      <c r="D116" s="777">
        <v>43300</v>
      </c>
    </row>
    <row r="117" spans="3:4" ht="9" customHeight="1">
      <c r="C117" s="578" t="s">
        <v>3817</v>
      </c>
      <c r="D117" s="777">
        <v>39600</v>
      </c>
    </row>
    <row r="118" spans="3:4" ht="9" customHeight="1">
      <c r="C118" s="578" t="s">
        <v>251</v>
      </c>
      <c r="D118" s="777">
        <v>40700</v>
      </c>
    </row>
    <row r="119" spans="3:4" ht="9" customHeight="1">
      <c r="C119" s="578" t="s">
        <v>255</v>
      </c>
      <c r="D119" s="777">
        <v>40600</v>
      </c>
    </row>
    <row r="120" spans="3:4" ht="9" customHeight="1">
      <c r="C120" s="578" t="s">
        <v>1547</v>
      </c>
      <c r="D120" s="777">
        <v>43200</v>
      </c>
    </row>
    <row r="121" spans="3:4" ht="9" customHeight="1">
      <c r="C121" s="578" t="s">
        <v>1549</v>
      </c>
      <c r="D121" s="777">
        <v>44000</v>
      </c>
    </row>
    <row r="122" spans="3:4" ht="9" customHeight="1">
      <c r="C122" s="578" t="s">
        <v>1465</v>
      </c>
      <c r="D122" s="777">
        <v>38800</v>
      </c>
    </row>
    <row r="123" spans="3:4" ht="9" customHeight="1">
      <c r="C123" s="578" t="s">
        <v>1469</v>
      </c>
      <c r="D123" s="777">
        <v>42000</v>
      </c>
    </row>
    <row r="124" spans="3:4" ht="9" customHeight="1">
      <c r="C124" s="578" t="s">
        <v>3370</v>
      </c>
      <c r="D124" s="777">
        <v>38500</v>
      </c>
    </row>
    <row r="125" spans="3:4" ht="9" customHeight="1">
      <c r="C125" s="578" t="s">
        <v>997</v>
      </c>
      <c r="D125" s="777">
        <v>38700</v>
      </c>
    </row>
    <row r="126" spans="3:4" ht="9" customHeight="1">
      <c r="C126" s="578" t="s">
        <v>999</v>
      </c>
      <c r="D126" s="777">
        <v>43600</v>
      </c>
    </row>
    <row r="127" spans="3:4" ht="9" customHeight="1">
      <c r="C127" s="577" t="s">
        <v>1004</v>
      </c>
      <c r="D127" s="777">
        <v>46700</v>
      </c>
    </row>
    <row r="128" spans="3:4" ht="9" customHeight="1">
      <c r="C128" s="578" t="s">
        <v>1006</v>
      </c>
      <c r="D128" s="777">
        <v>46600</v>
      </c>
    </row>
    <row r="129" spans="3:4" ht="9" customHeight="1">
      <c r="C129" s="577" t="s">
        <v>1008</v>
      </c>
      <c r="D129" s="777">
        <v>45500</v>
      </c>
    </row>
    <row r="130" spans="3:4" ht="9" customHeight="1">
      <c r="C130" s="578" t="s">
        <v>1011</v>
      </c>
      <c r="D130" s="777">
        <v>53200</v>
      </c>
    </row>
    <row r="131" spans="3:4" ht="9" customHeight="1">
      <c r="C131" s="578" t="s">
        <v>1013</v>
      </c>
      <c r="D131" s="777">
        <v>42600</v>
      </c>
    </row>
    <row r="132" spans="3:4" ht="9" customHeight="1">
      <c r="C132" s="578" t="s">
        <v>1015</v>
      </c>
      <c r="D132" s="777">
        <v>49500</v>
      </c>
    </row>
    <row r="133" spans="3:4" ht="9" customHeight="1">
      <c r="C133" s="578" t="s">
        <v>138</v>
      </c>
      <c r="D133" s="777">
        <v>52600</v>
      </c>
    </row>
    <row r="134" spans="3:4" ht="9" customHeight="1">
      <c r="C134" s="578" t="s">
        <v>408</v>
      </c>
      <c r="D134" s="777">
        <v>33900</v>
      </c>
    </row>
    <row r="135" spans="3:4" ht="9" customHeight="1">
      <c r="C135" s="578" t="s">
        <v>412</v>
      </c>
      <c r="D135" s="777">
        <v>49200</v>
      </c>
    </row>
    <row r="136" spans="3:4" ht="9" customHeight="1">
      <c r="C136" s="578" t="s">
        <v>417</v>
      </c>
      <c r="D136" s="777">
        <v>43800</v>
      </c>
    </row>
    <row r="137" spans="3:4" ht="9" customHeight="1">
      <c r="C137" s="578" t="s">
        <v>419</v>
      </c>
      <c r="D137" s="777">
        <v>56600</v>
      </c>
    </row>
    <row r="138" spans="3:4" ht="9" customHeight="1">
      <c r="C138" s="578" t="s">
        <v>422</v>
      </c>
      <c r="D138" s="777">
        <v>38500</v>
      </c>
    </row>
    <row r="139" spans="3:4" ht="9" customHeight="1">
      <c r="C139" s="578" t="s">
        <v>424</v>
      </c>
      <c r="D139" s="777">
        <v>39000</v>
      </c>
    </row>
    <row r="140" spans="3:4" ht="9" customHeight="1">
      <c r="C140" s="578" t="s">
        <v>426</v>
      </c>
      <c r="D140" s="777">
        <v>36800</v>
      </c>
    </row>
    <row r="141" spans="3:4" ht="9" customHeight="1">
      <c r="C141" s="578" t="s">
        <v>428</v>
      </c>
      <c r="D141" s="777">
        <v>36900</v>
      </c>
    </row>
    <row r="142" spans="3:4" ht="9" customHeight="1">
      <c r="C142" s="578" t="s">
        <v>2178</v>
      </c>
      <c r="D142" s="777">
        <v>47600</v>
      </c>
    </row>
    <row r="143" spans="3:4" ht="9" customHeight="1">
      <c r="C143" s="578" t="s">
        <v>2182</v>
      </c>
      <c r="D143" s="777">
        <v>45600</v>
      </c>
    </row>
    <row r="144" spans="3:4" ht="9" customHeight="1">
      <c r="C144" s="577" t="s">
        <v>234</v>
      </c>
      <c r="D144" s="777">
        <v>57700</v>
      </c>
    </row>
    <row r="145" spans="3:4" ht="9" customHeight="1">
      <c r="C145" s="578" t="s">
        <v>235</v>
      </c>
      <c r="D145" s="777">
        <v>36600</v>
      </c>
    </row>
    <row r="146" spans="3:4" ht="9" customHeight="1">
      <c r="C146" s="578" t="s">
        <v>2538</v>
      </c>
      <c r="D146" s="777">
        <v>39700</v>
      </c>
    </row>
    <row r="147" spans="3:4" ht="9" customHeight="1">
      <c r="C147" s="578" t="s">
        <v>2540</v>
      </c>
      <c r="D147" s="777">
        <v>38900</v>
      </c>
    </row>
    <row r="148" spans="3:4" ht="9" customHeight="1">
      <c r="C148" s="578" t="s">
        <v>242</v>
      </c>
      <c r="D148" s="777">
        <v>47800</v>
      </c>
    </row>
    <row r="149" spans="3:4" ht="9" customHeight="1">
      <c r="C149" s="577" t="s">
        <v>3896</v>
      </c>
      <c r="D149" s="777">
        <v>57400</v>
      </c>
    </row>
    <row r="150" spans="3:4" ht="9" customHeight="1">
      <c r="C150" s="578" t="s">
        <v>1722</v>
      </c>
      <c r="D150" s="777">
        <v>53100</v>
      </c>
    </row>
    <row r="151" spans="3:4" ht="9" customHeight="1">
      <c r="C151" s="578" t="s">
        <v>1725</v>
      </c>
      <c r="D151" s="777">
        <v>44700</v>
      </c>
    </row>
    <row r="152" spans="3:4" ht="9" customHeight="1">
      <c r="C152" s="578" t="s">
        <v>1728</v>
      </c>
      <c r="D152" s="777">
        <v>46200</v>
      </c>
    </row>
    <row r="153" spans="3:4" ht="9" customHeight="1">
      <c r="C153" s="577" t="s">
        <v>1730</v>
      </c>
      <c r="D153" s="777">
        <v>48500</v>
      </c>
    </row>
    <row r="154" spans="3:4" ht="9" customHeight="1">
      <c r="C154" s="577" t="s">
        <v>1732</v>
      </c>
      <c r="D154" s="777">
        <v>53900</v>
      </c>
    </row>
    <row r="155" spans="3:4" ht="9" customHeight="1">
      <c r="C155" s="578" t="s">
        <v>1734</v>
      </c>
      <c r="D155" s="777">
        <v>38200</v>
      </c>
    </row>
    <row r="156" spans="3:4" ht="9" customHeight="1">
      <c r="C156" s="578" t="s">
        <v>1736</v>
      </c>
      <c r="D156" s="777">
        <v>49800</v>
      </c>
    </row>
    <row r="157" spans="3:4" ht="9" customHeight="1">
      <c r="C157" s="578" t="s">
        <v>1738</v>
      </c>
      <c r="D157" s="777">
        <v>37700</v>
      </c>
    </row>
    <row r="158" spans="3:4" ht="9" customHeight="1">
      <c r="C158" s="578" t="s">
        <v>3273</v>
      </c>
      <c r="D158" s="777">
        <v>45000</v>
      </c>
    </row>
    <row r="159" spans="3:4" ht="9" customHeight="1">
      <c r="C159" s="578" t="s">
        <v>3275</v>
      </c>
      <c r="D159" s="777">
        <v>43200</v>
      </c>
    </row>
    <row r="160" spans="3:4" ht="9" customHeight="1">
      <c r="C160" s="577" t="s">
        <v>3277</v>
      </c>
      <c r="D160" s="777">
        <v>41400</v>
      </c>
    </row>
    <row r="161" spans="3:4" ht="9" customHeight="1">
      <c r="C161" s="577" t="s">
        <v>3280</v>
      </c>
      <c r="D161" s="777">
        <v>44400</v>
      </c>
    </row>
    <row r="162" spans="3:4" ht="9" customHeight="1">
      <c r="C162" s="578" t="s">
        <v>3282</v>
      </c>
      <c r="D162" s="777">
        <v>36800</v>
      </c>
    </row>
    <row r="163" spans="3:4" ht="9" customHeight="1">
      <c r="C163" s="578" t="s">
        <v>3284</v>
      </c>
      <c r="D163" s="777">
        <v>43800</v>
      </c>
    </row>
    <row r="164" spans="3:4" ht="9" customHeight="1">
      <c r="C164" s="578" t="s">
        <v>3286</v>
      </c>
      <c r="D164" s="777">
        <v>43800</v>
      </c>
    </row>
    <row r="165" spans="3:4" ht="9" customHeight="1">
      <c r="C165" s="578" t="s">
        <v>3288</v>
      </c>
      <c r="D165" s="777">
        <v>34600</v>
      </c>
    </row>
    <row r="166" spans="3:4" ht="9" customHeight="1">
      <c r="C166" s="578" t="s">
        <v>3290</v>
      </c>
      <c r="D166" s="777">
        <v>44700</v>
      </c>
    </row>
    <row r="167" spans="3:4" ht="9" customHeight="1">
      <c r="C167" s="578" t="s">
        <v>1460</v>
      </c>
      <c r="D167" s="777">
        <v>37300</v>
      </c>
    </row>
    <row r="168" spans="3:4" ht="9" customHeight="1">
      <c r="C168" s="578" t="s">
        <v>1462</v>
      </c>
      <c r="D168" s="777">
        <v>40500</v>
      </c>
    </row>
    <row r="169" spans="3:4" ht="9" customHeight="1">
      <c r="C169" s="577" t="s">
        <v>2662</v>
      </c>
      <c r="D169" s="777">
        <v>49300</v>
      </c>
    </row>
    <row r="170" spans="3:4" ht="9" customHeight="1">
      <c r="C170" s="577" t="s">
        <v>2977</v>
      </c>
      <c r="D170" s="777">
        <v>48600</v>
      </c>
    </row>
    <row r="171" spans="3:4" ht="9" customHeight="1">
      <c r="C171" s="577" t="s">
        <v>2979</v>
      </c>
      <c r="D171" s="777">
        <v>42900</v>
      </c>
    </row>
    <row r="172" spans="3:4" ht="9" customHeight="1">
      <c r="C172" s="577" t="s">
        <v>2981</v>
      </c>
      <c r="D172" s="777">
        <v>46400</v>
      </c>
    </row>
    <row r="173" spans="3:4" ht="9" customHeight="1">
      <c r="C173" s="577" t="s">
        <v>2983</v>
      </c>
      <c r="D173" s="777">
        <v>40700</v>
      </c>
    </row>
    <row r="174" spans="3:4" ht="9" customHeight="1">
      <c r="C174" s="578" t="s">
        <v>2985</v>
      </c>
      <c r="D174" s="777">
        <v>51700</v>
      </c>
    </row>
    <row r="175" spans="3:4" ht="9" customHeight="1">
      <c r="C175" s="577" t="s">
        <v>2987</v>
      </c>
      <c r="D175" s="777">
        <v>39100</v>
      </c>
    </row>
    <row r="176" spans="3:4" ht="9" customHeight="1">
      <c r="C176" s="577" t="s">
        <v>2990</v>
      </c>
      <c r="D176" s="777">
        <v>49500</v>
      </c>
    </row>
    <row r="177" spans="3:4" ht="9" customHeight="1">
      <c r="C177" s="578" t="s">
        <v>3084</v>
      </c>
      <c r="D177" s="777">
        <v>46400</v>
      </c>
    </row>
    <row r="178" spans="3:4" ht="9" customHeight="1">
      <c r="C178" s="577" t="s">
        <v>117</v>
      </c>
      <c r="D178" s="777">
        <v>45700</v>
      </c>
    </row>
    <row r="179" spans="3:4" ht="9" customHeight="1">
      <c r="C179" s="577" t="s">
        <v>119</v>
      </c>
      <c r="D179" s="777">
        <v>40900</v>
      </c>
    </row>
    <row r="180" spans="3:4" ht="9" customHeight="1">
      <c r="C180" s="577" t="s">
        <v>121</v>
      </c>
      <c r="D180" s="777">
        <v>45200</v>
      </c>
    </row>
    <row r="181" spans="3:4" ht="9" customHeight="1">
      <c r="C181" s="577" t="s">
        <v>123</v>
      </c>
      <c r="D181" s="777">
        <v>49100</v>
      </c>
    </row>
    <row r="182" spans="3:4" ht="9" customHeight="1">
      <c r="C182" s="577" t="s">
        <v>125</v>
      </c>
      <c r="D182" s="777">
        <v>40200</v>
      </c>
    </row>
    <row r="183" spans="3:4" ht="9" customHeight="1">
      <c r="C183" s="577" t="s">
        <v>127</v>
      </c>
      <c r="D183" s="777">
        <v>36900</v>
      </c>
    </row>
    <row r="184" spans="3:4" ht="9" customHeight="1">
      <c r="C184" s="577" t="s">
        <v>129</v>
      </c>
      <c r="D184" s="777">
        <v>50800</v>
      </c>
    </row>
    <row r="185" spans="3:4" ht="9" customHeight="1">
      <c r="C185" s="577" t="s">
        <v>3629</v>
      </c>
      <c r="D185" s="777">
        <v>43500</v>
      </c>
    </row>
    <row r="186" spans="3:4" ht="9" customHeight="1">
      <c r="C186" s="577" t="s">
        <v>3631</v>
      </c>
      <c r="D186" s="777">
        <v>45100</v>
      </c>
    </row>
    <row r="187" spans="3:4" ht="9" customHeight="1">
      <c r="C187" s="577" t="s">
        <v>3633</v>
      </c>
      <c r="D187" s="777">
        <v>49000</v>
      </c>
    </row>
  </sheetData>
  <sheetProtection sheet="1" objects="1" scenarios="1" formatCells="0" formatColumns="0" formatRows="0"/>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36" workbookViewId="0">
      <selection activeCell="A2236" sqref="A1:XFD1048576"/>
    </sheetView>
  </sheetViews>
  <sheetFormatPr defaultColWidth="8.88671875" defaultRowHeight="13.2"/>
  <cols>
    <col min="1" max="18" width="12.109375" style="748" customWidth="1"/>
    <col min="19" max="16384" width="8.88671875" style="748"/>
  </cols>
  <sheetData>
    <row r="1" spans="1:2">
      <c r="A1" s="748" t="s">
        <v>1589</v>
      </c>
    </row>
    <row r="2" spans="1:2">
      <c r="A2" s="748" t="str">
        <f>'Part I-Project Information'!F22</f>
        <v>Pecan Point Apartments</v>
      </c>
    </row>
    <row r="3" spans="1:2">
      <c r="A3" s="748" t="str">
        <f>CONCATENATE('Part I-Project Information'!F24,", ", 'Part I-Project Information'!J25," County")</f>
        <v>Cochran, Bleckley County</v>
      </c>
    </row>
    <row r="4" spans="1:2" ht="12" customHeight="1"/>
    <row r="5" spans="1:2" ht="111" customHeight="1">
      <c r="A5" s="748" t="str">
        <f>'Project Narrative'!A5</f>
        <v>Pecan Point Apartments, 133 Limestone Rd, Cochran, GA 31014. Total Units = 49 (Includes manager's unit). Low incme units = 48, Family project.</v>
      </c>
      <c r="B5" s="748" t="s">
        <v>1590</v>
      </c>
    </row>
    <row r="6" spans="1:2" ht="6.6" customHeight="1"/>
    <row r="7" spans="1:2" ht="111" customHeight="1">
      <c r="A7" s="748" t="str">
        <f>'Project Narrative'!A7</f>
        <v>DEVELOPMENT SUMMARY - Pecan Point Apartments consists of forty eight (48) low-income units and one (1) manager’s unit, of which forty eight (48) are proposed to be developed as low-income units.  The forty eight (48) low-income units are comprised of sixteen (16) one bedroom, one bath units at 692 and 718 square feet, and thirty two (32) two bedroom, one bath units at 855 and 883 square feet. The project has one (1) two bedroom, one bath managers unit, office space and laundry facility for the community.</v>
      </c>
    </row>
    <row r="8" spans="1:2" ht="6.6" customHeight="1"/>
    <row r="9" spans="1:2" ht="111" customHeight="1">
      <c r="A9" s="748" t="str">
        <f>'Project Narrative'!A9</f>
        <v xml:space="preserve">A gut rehabilitation of the interiors will take place.  Gut rehabilitation will include demolition of the interior down to the studs. There will be new electrical, plumbing and mechanicals to include HVAC system, hot water heater, plumbing pipes and fixtures. The kitchen scope includes new floors, cabinets, counter tops, and appliances. New interior and exterior doors, hardware and trim are also included. New amenities for the interior of the units include:  ceiling fans and new window blinds. During the rehab process a new building will be constructed that will house the community room, leasing office and equipped computer center. The exterior improvements include the replacement of all of the existing shingles with new architectural shingles and new hardi-plank siding as well as the replacement of 100% of the existing windows.  There will be an asphalt overlay for the parking areas plus concrete work in areas of concern.  Gutter replacement and exterior lighting are also included in the exterior scope.  The site signage will be replaced and there will be new and updated landscaping.  A new playground, gazebo and covered picnic facility will be installed.  </v>
      </c>
    </row>
    <row r="10" spans="1:2" ht="6.6" customHeight="1"/>
    <row r="11" spans="1:2" ht="111" customHeight="1">
      <c r="A11" s="748" t="str">
        <f>'Project Narrative'!A11</f>
        <v>BUILDING AND UNIT FEATURES - The multi family rental community will showcase one bedroom and two bedroom units. The apartment buildings attractive, modern exterior will consist of a brick and hardi-plank façade which will help to provide maximum architectural appeal.  The project is already engaged to achieve Southface Energy Institute’s and GAHBA Earth Craft House multifamily certification. Upgraded exterior landscaping, such as flowers, perennials, and exterior lighting will provide additional beauty as well as an attractive drive-by appearance.</v>
      </c>
    </row>
    <row r="12" spans="1:2" ht="6.6" customHeight="1"/>
    <row r="13" spans="1:2" ht="111" customHeight="1">
      <c r="A13" s="748" t="str">
        <f>'Project Narrative'!A13</f>
        <v>THE APARTMENTS - We will make available to our residents beautifully rehabilitated apartments including: A redesigned kitchen complete with dishwasher, garbage disposal, electric range/oven with an exhaust hood and a frost-free refrigerator/freezer. Full bathroom(s) with all the newest features, tub and shower combination and showers, linen closet, one-piece vanity top, and vinyl floor. Wall-to-wall carpet with vinyl flooring in the kitchen and bath(s). Ceiling fans in living rooms and master bedrooms. Cable TV available in each bedroom and living room. Fire alarms. Individually controlled heating and air conditioning. Energy-efficient heat pumps. Maintenance includes interior service, lawns, landscaping, and pest control.</v>
      </c>
    </row>
    <row r="14" spans="1:2" ht="6.6" customHeight="1"/>
    <row r="15" spans="1:2" ht="111" customHeight="1">
      <c r="A15" s="748" t="str">
        <f>'Project Narrative'!A15</f>
        <v xml:space="preserve">RESIDENT SERVICES - Resident activities will be ongoing and designed to meet the needs of the changing community. </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4056</v>
      </c>
      <c r="M32" s="748" t="s">
        <v>2728</v>
      </c>
    </row>
    <row r="33" spans="1:15" ht="12" customHeight="1">
      <c r="E33" s="748" t="s">
        <v>4057</v>
      </c>
      <c r="O33" s="748" t="str">
        <f>'Part I-Project Information'!$O$4</f>
        <v>2011-003</v>
      </c>
    </row>
    <row r="34" spans="1:15" ht="12" customHeight="1"/>
    <row r="35" spans="1:15" ht="13.2" customHeight="1">
      <c r="A35" s="748" t="s">
        <v>949</v>
      </c>
      <c r="C35" s="748" t="s">
        <v>3588</v>
      </c>
      <c r="F35" s="748" t="s">
        <v>2739</v>
      </c>
      <c r="J35" s="748">
        <f>'Part IV-Uses of Funds'!J194</f>
        <v>0</v>
      </c>
    </row>
    <row r="36" spans="1:15" ht="13.2" customHeight="1">
      <c r="F36" s="748" t="s">
        <v>1981</v>
      </c>
      <c r="J36" s="748">
        <f>'Part III A-Sources of Funds'!J34</f>
        <v>0</v>
      </c>
    </row>
    <row r="37" spans="1:15" ht="7.2" customHeight="1"/>
    <row r="38" spans="1:15" ht="13.2" customHeight="1">
      <c r="A38" s="748" t="s">
        <v>1228</v>
      </c>
      <c r="C38" s="748" t="s">
        <v>3130</v>
      </c>
      <c r="F38" s="748" t="str">
        <f>'Part I-Project Information'!$F$9</f>
        <v>Competitive Round</v>
      </c>
      <c r="I38" s="748" t="s">
        <v>1229</v>
      </c>
      <c r="J38" s="748">
        <f>'Part I-Project Information'!$J$9</f>
        <v>0</v>
      </c>
    </row>
    <row r="39" spans="1:15" ht="7.2" customHeight="1"/>
    <row r="40" spans="1:15" ht="13.2" customHeight="1">
      <c r="A40" s="748" t="s">
        <v>1230</v>
      </c>
      <c r="C40" s="748" t="s">
        <v>2205</v>
      </c>
    </row>
    <row r="41" spans="1:15" ht="3" customHeight="1"/>
    <row r="42" spans="1:15" ht="13.2" customHeight="1">
      <c r="C42" s="748" t="s">
        <v>3440</v>
      </c>
      <c r="F42" s="748" t="str">
        <f>'Part I-Project Information'!$F$13</f>
        <v>Kenneth G. Blankenship</v>
      </c>
      <c r="M42" s="748" t="s">
        <v>3055</v>
      </c>
      <c r="N42" s="748" t="str">
        <f>'Part I-Project Information'!N13</f>
        <v>Partner</v>
      </c>
    </row>
    <row r="43" spans="1:15" ht="13.2" customHeight="1">
      <c r="C43" s="748" t="s">
        <v>3056</v>
      </c>
      <c r="F43" s="748" t="str">
        <f>'Part I-Project Information'!$F$14</f>
        <v>3715 Northside Parkway, Bldg 200 Suite 175</v>
      </c>
      <c r="M43" s="748" t="s">
        <v>2745</v>
      </c>
      <c r="O43" s="748">
        <f>'Part I-Project Information'!O14</f>
        <v>4049493873</v>
      </c>
    </row>
    <row r="44" spans="1:15" ht="13.2" customHeight="1">
      <c r="C44" s="748" t="s">
        <v>952</v>
      </c>
      <c r="F44" s="748" t="str">
        <f>'Part I-Project Information'!$F$15</f>
        <v>Atlanta</v>
      </c>
      <c r="M44" s="748" t="s">
        <v>2832</v>
      </c>
      <c r="O44" s="748">
        <f>'Part I-Project Information'!O15</f>
        <v>4049493880</v>
      </c>
    </row>
    <row r="45" spans="1:15" ht="13.2" customHeight="1">
      <c r="C45" s="748" t="s">
        <v>2829</v>
      </c>
      <c r="F45" s="748" t="str">
        <f>'Part I-Project Information'!$F$16</f>
        <v>GA</v>
      </c>
      <c r="I45" s="748" t="s">
        <v>3352</v>
      </c>
      <c r="J45" s="748">
        <f>'Part I-Project Information'!J16</f>
        <v>303272800</v>
      </c>
      <c r="M45" s="748" t="s">
        <v>3054</v>
      </c>
      <c r="O45" s="748">
        <f>'Part I-Project Information'!O16</f>
        <v>7708619049</v>
      </c>
    </row>
    <row r="46" spans="1:15" ht="13.2" customHeight="1">
      <c r="C46" s="748" t="s">
        <v>2744</v>
      </c>
      <c r="F46" s="748">
        <f>'Part I-Project Information'!F17</f>
        <v>4049493873</v>
      </c>
      <c r="I46" s="748" t="s">
        <v>2743</v>
      </c>
      <c r="J46" s="748">
        <f>'Part I-Project Information'!J17</f>
        <v>0</v>
      </c>
      <c r="K46" s="748" t="s">
        <v>3059</v>
      </c>
      <c r="L46" s="748" t="str">
        <f>'Part I-Project Information'!L17</f>
        <v>ken.blankenship@prestwickdevelopment.com</v>
      </c>
    </row>
    <row r="47" spans="1:15" ht="13.2" customHeight="1">
      <c r="C47" s="748" t="s">
        <v>996</v>
      </c>
    </row>
    <row r="48" spans="1:15" ht="7.2" customHeight="1"/>
    <row r="49" spans="1:16" ht="13.2" customHeight="1">
      <c r="A49" s="748" t="s">
        <v>2822</v>
      </c>
      <c r="C49" s="748" t="s">
        <v>2206</v>
      </c>
    </row>
    <row r="50" spans="1:16" ht="3" customHeight="1"/>
    <row r="51" spans="1:16" ht="13.2" customHeight="1">
      <c r="C51" s="748" t="s">
        <v>950</v>
      </c>
      <c r="F51" s="748" t="str">
        <f>'Part I-Project Information'!F22</f>
        <v>Pecan Point Apartments</v>
      </c>
      <c r="M51" s="748" t="s">
        <v>3298</v>
      </c>
      <c r="O51" s="748" t="str">
        <f>'Part I-Project Information'!O22</f>
        <v>No</v>
      </c>
    </row>
    <row r="52" spans="1:16" ht="13.2" customHeight="1">
      <c r="C52" s="748" t="s">
        <v>951</v>
      </c>
      <c r="F52" s="748" t="str">
        <f>'Part I-Project Information'!F23</f>
        <v>133 Limestone Rd</v>
      </c>
      <c r="M52" s="748" t="s">
        <v>3144</v>
      </c>
      <c r="O52" s="748" t="str">
        <f>'Part I-Project Information'!O23</f>
        <v>No</v>
      </c>
    </row>
    <row r="53" spans="1:16" ht="13.2" customHeight="1">
      <c r="C53" s="748" t="s">
        <v>952</v>
      </c>
      <c r="F53" s="748" t="str">
        <f>'Part I-Project Information'!F24</f>
        <v>Cochran</v>
      </c>
      <c r="I53" s="748" t="s">
        <v>4058</v>
      </c>
      <c r="J53" s="748">
        <f>'Part I-Project Information'!J24</f>
        <v>310147036</v>
      </c>
      <c r="L53" s="748" t="str">
        <f>IF(AND(NOT(F51=""),NOT(F53="Select from list"),J53=""),"Enter Zip!","")</f>
        <v/>
      </c>
      <c r="M53" s="748" t="s">
        <v>3414</v>
      </c>
      <c r="O53" s="748">
        <f>'Part I-Project Information'!O24</f>
        <v>5.1360000000000001</v>
      </c>
    </row>
    <row r="54" spans="1:16" ht="13.2" customHeight="1">
      <c r="C54" s="748" t="s">
        <v>3143</v>
      </c>
      <c r="F54" s="748" t="str">
        <f>'Part I-Project Information'!F25</f>
        <v>Yes</v>
      </c>
      <c r="I54" s="748" t="s">
        <v>953</v>
      </c>
      <c r="J54" s="748" t="str">
        <f>'Part I-Project Information'!J25</f>
        <v>Bleckley</v>
      </c>
      <c r="M54" s="748" t="s">
        <v>3433</v>
      </c>
      <c r="O54" s="748">
        <f>'Part I-Project Information'!O25</f>
        <v>9903</v>
      </c>
    </row>
    <row r="55" spans="1:16" ht="13.2" customHeight="1">
      <c r="C55" s="748" t="s">
        <v>2312</v>
      </c>
      <c r="F55" s="748" t="str">
        <f>'Part I-Project Information'!F26</f>
        <v>Yes</v>
      </c>
      <c r="I55" s="748" t="s">
        <v>884</v>
      </c>
      <c r="J55" s="748" t="str">
        <f>'Part I-Project Information'!J26</f>
        <v>Bleckley Co.</v>
      </c>
      <c r="M55" s="748" t="s">
        <v>665</v>
      </c>
      <c r="N55" s="748" t="str">
        <f>'Part I-Project Information'!N26</f>
        <v>No</v>
      </c>
      <c r="O55" s="748" t="s">
        <v>666</v>
      </c>
      <c r="P55" s="748" t="str">
        <f>'Part I-Project Information'!P26</f>
        <v>No</v>
      </c>
    </row>
    <row r="56" spans="1:16" ht="3" customHeight="1"/>
    <row r="57" spans="1:16" ht="13.2" customHeight="1">
      <c r="F57" s="748" t="s">
        <v>4059</v>
      </c>
      <c r="H57" s="748" t="s">
        <v>1224</v>
      </c>
      <c r="J57" s="748" t="s">
        <v>1225</v>
      </c>
    </row>
    <row r="58" spans="1:16" ht="13.2" customHeight="1">
      <c r="C58" s="748" t="s">
        <v>954</v>
      </c>
      <c r="F58" s="748">
        <f>'Part I-Project Information'!F29</f>
        <v>8</v>
      </c>
      <c r="H58" s="748">
        <f>'Part I-Project Information'!H29</f>
        <v>20</v>
      </c>
      <c r="J58" s="748">
        <f>'Part I-Project Information'!J29</f>
        <v>144</v>
      </c>
    </row>
    <row r="59" spans="1:16" ht="13.2" customHeight="1">
      <c r="C59" s="748" t="s">
        <v>1226</v>
      </c>
      <c r="F59" s="748">
        <f>'Part I-Project Information'!F30</f>
        <v>0</v>
      </c>
      <c r="H59" s="748">
        <f>'Part I-Project Information'!H30</f>
        <v>0</v>
      </c>
      <c r="J59" s="748">
        <f>'Part I-Project Information'!J30</f>
        <v>0</v>
      </c>
    </row>
    <row r="60" spans="1:16" ht="3" customHeight="1"/>
    <row r="61" spans="1:16" ht="13.2" customHeight="1">
      <c r="C61" s="748" t="s">
        <v>972</v>
      </c>
      <c r="F61" s="748" t="str">
        <f>'Part I-Project Information'!F32</f>
        <v>City of Cochran</v>
      </c>
    </row>
    <row r="62" spans="1:16" ht="13.2" customHeight="1">
      <c r="C62" s="748" t="s">
        <v>973</v>
      </c>
      <c r="F62" s="748" t="str">
        <f>'Part I-Project Information'!F33</f>
        <v>Cliff Avant</v>
      </c>
      <c r="K62" s="748" t="s">
        <v>3055</v>
      </c>
      <c r="L62" s="748" t="str">
        <f>'Part I-Project Information'!L33</f>
        <v>Mayor</v>
      </c>
    </row>
    <row r="63" spans="1:16" ht="13.2" customHeight="1">
      <c r="C63" s="748" t="s">
        <v>3056</v>
      </c>
      <c r="F63" s="748" t="str">
        <f>'Part I-Project Information'!F34</f>
        <v>112 W. Dykes Street</v>
      </c>
      <c r="K63" s="748" t="s">
        <v>952</v>
      </c>
      <c r="L63" s="748" t="str">
        <f>'Part I-Project Information'!L34</f>
        <v>Cochran</v>
      </c>
    </row>
    <row r="64" spans="1:16" ht="13.2" customHeight="1">
      <c r="C64" s="748" t="s">
        <v>3352</v>
      </c>
      <c r="F64" s="748">
        <f>'Part I-Project Information'!F35</f>
        <v>310146840</v>
      </c>
      <c r="H64" s="748" t="s">
        <v>3057</v>
      </c>
      <c r="I64" s="748">
        <f>'Part I-Project Information'!I35</f>
        <v>4789342055</v>
      </c>
      <c r="L64" s="748" t="s">
        <v>2832</v>
      </c>
      <c r="M64" s="748">
        <f>'Part I-Project Information'!M35</f>
        <v>4789343230</v>
      </c>
    </row>
    <row r="65" spans="1:16" ht="7.2" customHeight="1"/>
    <row r="66" spans="1:16" ht="13.2" customHeight="1">
      <c r="A66" s="748" t="s">
        <v>2824</v>
      </c>
      <c r="C66" s="748" t="s">
        <v>2207</v>
      </c>
      <c r="J66" s="748" t="s">
        <v>4060</v>
      </c>
    </row>
    <row r="67" spans="1:16" ht="3" customHeight="1"/>
    <row r="68" spans="1:16">
      <c r="B68" s="748" t="s">
        <v>3058</v>
      </c>
      <c r="C68" s="748" t="s">
        <v>3435</v>
      </c>
      <c r="F68" s="748" t="str">
        <f>'Part I-Project Information'!F39</f>
        <v>No</v>
      </c>
      <c r="J68" s="748" t="s">
        <v>1970</v>
      </c>
      <c r="L68" s="748" t="s">
        <v>1971</v>
      </c>
    </row>
    <row r="69" spans="1:16" ht="3" customHeight="1"/>
    <row r="70" spans="1:16" ht="13.2" customHeight="1">
      <c r="B70" s="748" t="s">
        <v>3061</v>
      </c>
      <c r="C70" s="748" t="s">
        <v>3597</v>
      </c>
      <c r="J70" s="748" t="s">
        <v>1974</v>
      </c>
      <c r="L70" s="748" t="s">
        <v>1969</v>
      </c>
    </row>
    <row r="71" spans="1:16" ht="13.2" customHeight="1">
      <c r="C71" s="748" t="s">
        <v>3434</v>
      </c>
      <c r="F71" s="748">
        <f>'Part VI-Revenues &amp; Expenses'!$M$75</f>
        <v>0</v>
      </c>
    </row>
    <row r="72" spans="1:16" ht="13.2" customHeight="1">
      <c r="C72" s="748" t="s">
        <v>468</v>
      </c>
      <c r="F72" s="748">
        <f>'Part VI-Revenues &amp; Expenses'!$M$82</f>
        <v>0</v>
      </c>
    </row>
    <row r="73" spans="1:16" ht="13.2" customHeight="1">
      <c r="C73" s="748" t="s">
        <v>442</v>
      </c>
      <c r="F73" s="748">
        <f>'Part VI-Revenues &amp; Expenses'!$M$78</f>
        <v>49</v>
      </c>
      <c r="G73" s="748" t="s">
        <v>444</v>
      </c>
      <c r="L73" s="748">
        <f>'Part I-Project Information'!L44</f>
        <v>32216</v>
      </c>
    </row>
    <row r="74" spans="1:16" ht="13.2" customHeight="1">
      <c r="C74" s="748" t="s">
        <v>443</v>
      </c>
      <c r="F74" s="748">
        <f>'Part VI-Revenues &amp; Expenses'!$M$81</f>
        <v>0</v>
      </c>
    </row>
    <row r="75" spans="1:16" ht="13.2" customHeight="1">
      <c r="C75" s="748" t="s">
        <v>469</v>
      </c>
      <c r="F75" s="748">
        <f>'Part VI-Revenues &amp; Expenses'!$M$83</f>
        <v>0</v>
      </c>
    </row>
    <row r="76" spans="1:16" ht="3.6" customHeight="1"/>
    <row r="77" spans="1:16" ht="13.2" customHeight="1">
      <c r="B77" s="748" t="s">
        <v>1237</v>
      </c>
      <c r="C77" s="748" t="s">
        <v>3406</v>
      </c>
      <c r="I77" s="748" t="s">
        <v>2129</v>
      </c>
      <c r="J77" s="748" t="s">
        <v>3210</v>
      </c>
      <c r="K77" s="748" t="s">
        <v>3441</v>
      </c>
    </row>
    <row r="78" spans="1:16" ht="13.2" customHeight="1">
      <c r="C78" s="748" t="s">
        <v>3407</v>
      </c>
      <c r="H78" s="748">
        <f>SUM(H79:H80)</f>
        <v>48</v>
      </c>
      <c r="K78" s="748" t="s">
        <v>3442</v>
      </c>
      <c r="P78" s="748">
        <f>'Part VI-Revenues &amp; Expenses'!$M$94</f>
        <v>39088</v>
      </c>
    </row>
    <row r="79" spans="1:16" ht="13.2" customHeight="1">
      <c r="D79" s="748" t="s">
        <v>489</v>
      </c>
      <c r="H79" s="748">
        <f>'Part VI-Revenues &amp; Expenses'!$M$58</f>
        <v>8</v>
      </c>
      <c r="I79" s="748">
        <f>'Part VI-Revenues &amp; Expenses'!$M$66</f>
        <v>8</v>
      </c>
      <c r="K79" s="748" t="s">
        <v>326</v>
      </c>
      <c r="P79" s="748">
        <f>'Part VI-Revenues &amp; Expenses'!$M$95</f>
        <v>0</v>
      </c>
    </row>
    <row r="80" spans="1:16" ht="13.2" customHeight="1">
      <c r="D80" s="748" t="s">
        <v>2862</v>
      </c>
      <c r="H80" s="748">
        <f>'Part VI-Revenues &amp; Expenses'!$M$57</f>
        <v>40</v>
      </c>
      <c r="I80" s="748">
        <f>'Part VI-Revenues &amp; Expenses'!$M$65</f>
        <v>30</v>
      </c>
      <c r="K80" s="748" t="s">
        <v>3443</v>
      </c>
      <c r="P80" s="748">
        <f>+P78+P79</f>
        <v>39088</v>
      </c>
    </row>
    <row r="81" spans="1:16" ht="13.2" customHeight="1">
      <c r="C81" s="748" t="s">
        <v>327</v>
      </c>
      <c r="H81" s="748">
        <f>'Part VI-Revenues &amp; Expenses'!$M$60</f>
        <v>0</v>
      </c>
      <c r="K81" s="748" t="s">
        <v>2132</v>
      </c>
      <c r="P81" s="748">
        <f>'Part VI-Revenues &amp; Expenses'!$M$97</f>
        <v>899</v>
      </c>
    </row>
    <row r="82" spans="1:16" ht="13.2" customHeight="1">
      <c r="C82" s="748" t="s">
        <v>3648</v>
      </c>
      <c r="H82" s="748">
        <f>+H78+H81</f>
        <v>48</v>
      </c>
      <c r="K82" s="748" t="s">
        <v>2131</v>
      </c>
      <c r="P82" s="748">
        <f>+P80+P81</f>
        <v>39987</v>
      </c>
    </row>
    <row r="83" spans="1:16" ht="13.2" customHeight="1">
      <c r="C83" s="748" t="s">
        <v>3649</v>
      </c>
      <c r="H83" s="748">
        <f>'Part VI-Revenues &amp; Expenses'!$M$62</f>
        <v>1</v>
      </c>
    </row>
    <row r="84" spans="1:16" ht="13.2" customHeight="1">
      <c r="C84" s="748" t="s">
        <v>2823</v>
      </c>
      <c r="H84" s="748">
        <f>+H82+H83</f>
        <v>49</v>
      </c>
    </row>
    <row r="85" spans="1:16" ht="3" customHeight="1"/>
    <row r="86" spans="1:16" ht="13.2" customHeight="1">
      <c r="B86" s="748" t="s">
        <v>2761</v>
      </c>
      <c r="C86" s="748" t="s">
        <v>3436</v>
      </c>
      <c r="D86" s="748" t="s">
        <v>3072</v>
      </c>
      <c r="H86" s="748">
        <f>'Part I-Project Information'!H57</f>
        <v>6</v>
      </c>
      <c r="K86" s="748" t="s">
        <v>1758</v>
      </c>
      <c r="P86" s="748">
        <f>'Part I-Project Information'!P57</f>
        <v>2155</v>
      </c>
    </row>
    <row r="87" spans="1:16" ht="13.2" customHeight="1">
      <c r="D87" s="748" t="s">
        <v>3073</v>
      </c>
      <c r="H87" s="748">
        <f>'Part I-Project Information'!H58</f>
        <v>2</v>
      </c>
      <c r="K87" s="748" t="s">
        <v>325</v>
      </c>
      <c r="P87" s="748">
        <f>+P82+P86</f>
        <v>42142</v>
      </c>
    </row>
    <row r="88" spans="1:16" ht="13.2" customHeight="1">
      <c r="D88" s="748" t="s">
        <v>3074</v>
      </c>
      <c r="H88" s="748">
        <f>+H86+H87</f>
        <v>8</v>
      </c>
    </row>
    <row r="89" spans="1:16" ht="3" customHeight="1"/>
    <row r="90" spans="1:16" ht="13.2" customHeight="1">
      <c r="B90" s="748" t="s">
        <v>2762</v>
      </c>
      <c r="C90" s="748" t="s">
        <v>3598</v>
      </c>
      <c r="H90" s="748">
        <f>'Part I-Project Information'!H61</f>
        <v>76</v>
      </c>
    </row>
    <row r="91" spans="1:16" ht="9" customHeight="1"/>
    <row r="92" spans="1:16" ht="13.2" customHeight="1">
      <c r="A92" s="748" t="s">
        <v>821</v>
      </c>
      <c r="C92" s="748" t="s">
        <v>1835</v>
      </c>
    </row>
    <row r="93" spans="1:16" ht="3" customHeight="1"/>
    <row r="94" spans="1:16" ht="13.2" customHeight="1">
      <c r="B94" s="748" t="s">
        <v>3058</v>
      </c>
      <c r="C94" s="748" t="s">
        <v>2271</v>
      </c>
      <c r="H94" s="748" t="str">
        <f>'Part I-Project Information'!H65</f>
        <v>Family</v>
      </c>
      <c r="K94" s="748" t="s">
        <v>2800</v>
      </c>
      <c r="N94" s="748">
        <f>'Part I-Project Information'!N65</f>
        <v>0</v>
      </c>
    </row>
    <row r="95" spans="1:16" ht="3" customHeight="1"/>
    <row r="96" spans="1:16" ht="13.2" customHeight="1">
      <c r="B96" s="748" t="s">
        <v>3061</v>
      </c>
      <c r="C96" s="748" t="s">
        <v>2120</v>
      </c>
      <c r="G96" s="748" t="s">
        <v>1377</v>
      </c>
      <c r="H96" s="748">
        <f>'Part I-Project Information'!H67</f>
        <v>3</v>
      </c>
      <c r="K96" s="748" t="s">
        <v>811</v>
      </c>
      <c r="P96" s="748">
        <f>IF('Part VI-Revenues &amp; Expenses'!$M$63=0,0,$H96/'Part VI-Revenues &amp; Expenses'!$M$63)</f>
        <v>6.1224489795918366E-2</v>
      </c>
    </row>
    <row r="97" spans="1:16" ht="3" customHeight="1"/>
    <row r="98" spans="1:16" ht="13.2" customHeight="1">
      <c r="B98" s="748" t="s">
        <v>1237</v>
      </c>
      <c r="C98" s="748" t="s">
        <v>2889</v>
      </c>
      <c r="G98" s="748" t="s">
        <v>1377</v>
      </c>
      <c r="H98" s="748">
        <f>'Part I-Project Information'!H69</f>
        <v>1</v>
      </c>
      <c r="K98" s="748" t="s">
        <v>811</v>
      </c>
      <c r="P98" s="748">
        <f>IF('Part VI-Revenues &amp; Expenses'!$M$63=0,0,$H98/'Part VI-Revenues &amp; Expenses'!$M$63)</f>
        <v>2.0408163265306121E-2</v>
      </c>
    </row>
    <row r="99" spans="1:16" ht="3" customHeight="1"/>
    <row r="100" spans="1:16" ht="13.2" customHeight="1">
      <c r="B100" s="748" t="s">
        <v>3210</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2" customHeight="1">
      <c r="A102" s="748" t="s">
        <v>1346</v>
      </c>
      <c r="C102" s="748" t="s">
        <v>3590</v>
      </c>
    </row>
    <row r="103" spans="1:16" ht="3" customHeight="1"/>
    <row r="104" spans="1:16" ht="13.2" customHeight="1">
      <c r="B104" s="748" t="s">
        <v>3058</v>
      </c>
      <c r="C104" s="748" t="s">
        <v>3589</v>
      </c>
      <c r="H104" s="748" t="str">
        <f>'Part I-Project Information'!H75</f>
        <v>40% of Units at 60% of AMI</v>
      </c>
    </row>
    <row r="105" spans="1:16" ht="3" customHeight="1"/>
    <row r="106" spans="1:16" ht="13.2" customHeight="1">
      <c r="B106" s="748" t="s">
        <v>3061</v>
      </c>
      <c r="C106" s="748" t="s">
        <v>2284</v>
      </c>
      <c r="K106" s="748" t="s">
        <v>1458</v>
      </c>
      <c r="P106" s="748" t="str">
        <f>'Part I-Project Information'!P77</f>
        <v>No</v>
      </c>
    </row>
    <row r="107" spans="1:16" ht="9" customHeight="1"/>
    <row r="108" spans="1:16" ht="13.2" customHeight="1">
      <c r="A108" s="748" t="s">
        <v>385</v>
      </c>
      <c r="C108" s="748" t="s">
        <v>3131</v>
      </c>
    </row>
    <row r="109" spans="1:16" ht="3" customHeight="1"/>
    <row r="110" spans="1:16" ht="13.2" customHeight="1">
      <c r="E110" s="748" t="str">
        <f>'Part I-Project Information'!E81</f>
        <v>No</v>
      </c>
      <c r="F110" s="748" t="s">
        <v>3912</v>
      </c>
      <c r="H110" s="748" t="str">
        <f>'Part I-Project Information'!H81</f>
        <v>Yes</v>
      </c>
      <c r="I110" s="748" t="s">
        <v>3911</v>
      </c>
      <c r="K110" s="748" t="str">
        <f>'Part I-Project Information'!K81</f>
        <v>No</v>
      </c>
      <c r="L110" s="748" t="s">
        <v>144</v>
      </c>
    </row>
    <row r="111" spans="1:16" ht="13.2" customHeight="1">
      <c r="E111" s="748" t="str">
        <f>'Part I-Project Information'!E82</f>
        <v>Yes</v>
      </c>
      <c r="F111" s="748" t="s">
        <v>650</v>
      </c>
      <c r="H111" s="748" t="str">
        <f>'Part I-Project Information'!H82</f>
        <v>No</v>
      </c>
      <c r="I111" s="748" t="s">
        <v>3231</v>
      </c>
      <c r="K111" s="748" t="str">
        <f>'Part I-Project Information'!K82</f>
        <v>No</v>
      </c>
      <c r="L111" s="748" t="s">
        <v>3232</v>
      </c>
    </row>
    <row r="112" spans="1:16" ht="9" customHeight="1"/>
    <row r="113" spans="1:15" ht="13.2" customHeight="1">
      <c r="A113" s="748" t="s">
        <v>541</v>
      </c>
      <c r="C113" s="748" t="s">
        <v>1833</v>
      </c>
    </row>
    <row r="114" spans="1:15" ht="3" customHeight="1"/>
    <row r="115" spans="1:15" ht="13.2" customHeight="1">
      <c r="C115" s="748" t="s">
        <v>846</v>
      </c>
      <c r="E115" s="748">
        <f>'Part I-Project Information'!E86</f>
        <v>0</v>
      </c>
      <c r="M115" s="748" t="s">
        <v>847</v>
      </c>
      <c r="O115" s="748">
        <f>'Part I-Project Information'!O86</f>
        <v>0</v>
      </c>
    </row>
    <row r="116" spans="1:15" ht="13.2" customHeight="1">
      <c r="C116" s="748" t="s">
        <v>1640</v>
      </c>
      <c r="E116" s="748">
        <f>'Part I-Project Information'!E87</f>
        <v>0</v>
      </c>
      <c r="M116" s="748" t="s">
        <v>1389</v>
      </c>
      <c r="O116" s="748">
        <f>'Part I-Project Information'!O87</f>
        <v>0</v>
      </c>
    </row>
    <row r="117" spans="1:15" ht="13.2" customHeight="1">
      <c r="C117" s="748" t="s">
        <v>952</v>
      </c>
      <c r="E117" s="748">
        <f>'Part I-Project Information'!E88</f>
        <v>0</v>
      </c>
      <c r="H117" s="748" t="s">
        <v>2829</v>
      </c>
      <c r="I117" s="748">
        <f>'Part I-Project Information'!I88</f>
        <v>0</v>
      </c>
      <c r="J117" s="748" t="s">
        <v>3352</v>
      </c>
      <c r="K117" s="748">
        <f>'Part I-Project Information'!K88</f>
        <v>0</v>
      </c>
    </row>
    <row r="118" spans="1:15" ht="13.2" customHeight="1">
      <c r="C118" s="748" t="s">
        <v>3300</v>
      </c>
      <c r="E118" s="748">
        <f>'Part I-Project Information'!E89</f>
        <v>0</v>
      </c>
      <c r="H118" s="748" t="s">
        <v>3055</v>
      </c>
      <c r="I118" s="748">
        <f>'Part I-Project Information'!I89</f>
        <v>0</v>
      </c>
      <c r="L118" s="748" t="s">
        <v>3059</v>
      </c>
      <c r="M118" s="748">
        <f>'Part I-Project Information'!M89</f>
        <v>0</v>
      </c>
    </row>
    <row r="119" spans="1:15" ht="13.2"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2" customHeight="1">
      <c r="A121" s="748" t="s">
        <v>463</v>
      </c>
      <c r="C121" s="748" t="s">
        <v>2664</v>
      </c>
    </row>
    <row r="122" spans="1:15" ht="3.6" customHeight="1"/>
    <row r="123" spans="1:15" ht="13.2" customHeight="1">
      <c r="C123" s="748" t="s">
        <v>3255</v>
      </c>
    </row>
    <row r="124" spans="1:15" ht="4.95" customHeight="1"/>
    <row r="125" spans="1:15" ht="13.2" customHeight="1">
      <c r="B125" s="748" t="s">
        <v>3058</v>
      </c>
      <c r="C125" s="748" t="s">
        <v>2121</v>
      </c>
      <c r="H125" s="748">
        <f>'Part I-Project Information'!H96</f>
        <v>2</v>
      </c>
    </row>
    <row r="126" spans="1:15" ht="3.6" customHeight="1"/>
    <row r="127" spans="1:15" ht="13.2" customHeight="1">
      <c r="B127" s="748" t="s">
        <v>3061</v>
      </c>
      <c r="C127" s="748" t="s">
        <v>525</v>
      </c>
      <c r="H127" s="748">
        <f>'Part I-Project Information'!H98</f>
        <v>1074816</v>
      </c>
    </row>
    <row r="128" spans="1:15" ht="3.6" customHeight="1"/>
    <row r="129" spans="2:13" ht="13.2" customHeight="1">
      <c r="B129" s="748" t="s">
        <v>1237</v>
      </c>
      <c r="C129" s="748" t="s">
        <v>395</v>
      </c>
    </row>
    <row r="130" spans="2:13" ht="13.2" customHeight="1">
      <c r="C130" s="748" t="s">
        <v>3233</v>
      </c>
      <c r="F130" s="748" t="s">
        <v>1772</v>
      </c>
      <c r="J130" s="748" t="s">
        <v>3233</v>
      </c>
      <c r="M130" s="748" t="s">
        <v>1772</v>
      </c>
    </row>
    <row r="131" spans="2:13" ht="13.2" customHeight="1">
      <c r="C131" s="748" t="str">
        <f>'Part I-Project Information'!C102</f>
        <v>Prestwick Development</v>
      </c>
      <c r="F131" s="748" t="str">
        <f>'Part I-Project Information'!F102</f>
        <v>Plantation Apartments IV</v>
      </c>
      <c r="J131" s="748" t="str">
        <f>'Part I-Project Information'!J102</f>
        <v>Prestwick Development</v>
      </c>
      <c r="M131" s="748" t="str">
        <f>'Part I-Project Information'!M102</f>
        <v>Pecan Point Apartments</v>
      </c>
    </row>
    <row r="132" spans="2:13" ht="13.2" customHeight="1">
      <c r="C132" s="748" t="str">
        <f>'Part I-Project Information'!C103</f>
        <v>Kenneth G. Blankenship</v>
      </c>
      <c r="F132" s="748" t="str">
        <f>'Part I-Project Information'!F103</f>
        <v>Plantation Apartments IV</v>
      </c>
      <c r="J132" s="748" t="str">
        <f>'Part I-Project Information'!J103</f>
        <v>Kenneth G. Blankenship</v>
      </c>
      <c r="M132" s="748" t="str">
        <f>'Part I-Project Information'!M103</f>
        <v>Pecan Point Apartments</v>
      </c>
    </row>
    <row r="133" spans="2:13" ht="13.2" customHeight="1">
      <c r="C133" s="748" t="str">
        <f>'Part I-Project Information'!C104</f>
        <v>Richard D. Lee</v>
      </c>
      <c r="F133" s="748" t="str">
        <f>'Part I-Project Information'!F104</f>
        <v>Plantation Apartments IV</v>
      </c>
      <c r="J133" s="748" t="str">
        <f>'Part I-Project Information'!J104</f>
        <v>Richard D. Lee</v>
      </c>
      <c r="M133" s="748" t="str">
        <f>'Part I-Project Information'!M104</f>
        <v>Pecan Point Apartments</v>
      </c>
    </row>
    <row r="134" spans="2:13" ht="13.2" customHeight="1">
      <c r="C134" s="748" t="str">
        <f>'Part I-Project Information'!C105</f>
        <v>Wiley A Tucker III</v>
      </c>
      <c r="F134" s="748" t="str">
        <f>'Part I-Project Information'!F105</f>
        <v>Plantation Apartments IV</v>
      </c>
      <c r="J134" s="748" t="str">
        <f>'Part I-Project Information'!J105</f>
        <v>Wiley A Tucker III</v>
      </c>
      <c r="M134" s="748" t="str">
        <f>'Part I-Project Information'!M105</f>
        <v>Pecan Point Apartments</v>
      </c>
    </row>
    <row r="135" spans="2:13" ht="13.2" customHeight="1">
      <c r="C135" s="748" t="str">
        <f>'Part I-Project Information'!C106</f>
        <v>Martin H. Petersen</v>
      </c>
      <c r="F135" s="748" t="str">
        <f>'Part I-Project Information'!F106</f>
        <v>Plantation Apartments IV</v>
      </c>
      <c r="J135" s="748" t="str">
        <f>'Part I-Project Information'!J106</f>
        <v>Martin H. Petersen</v>
      </c>
      <c r="M135" s="748" t="str">
        <f>'Part I-Project Information'!M106</f>
        <v>Pecan Point Apartments</v>
      </c>
    </row>
    <row r="136" spans="2:13" ht="13.2" customHeight="1">
      <c r="C136" s="748">
        <f>'Part I-Project Information'!C107</f>
        <v>0</v>
      </c>
      <c r="F136" s="748">
        <f>'Part I-Project Information'!F107</f>
        <v>0</v>
      </c>
      <c r="J136" s="748">
        <f>'Part I-Project Information'!J107</f>
        <v>0</v>
      </c>
      <c r="M136" s="748">
        <f>'Part I-Project Information'!M107</f>
        <v>0</v>
      </c>
    </row>
    <row r="137" spans="2:13" ht="13.2" customHeight="1">
      <c r="C137" s="748">
        <f>'Part I-Project Information'!C108</f>
        <v>0</v>
      </c>
      <c r="F137" s="748">
        <f>'Part I-Project Information'!F108</f>
        <v>0</v>
      </c>
      <c r="J137" s="748">
        <f>'Part I-Project Information'!J108</f>
        <v>0</v>
      </c>
      <c r="M137" s="748">
        <f>'Part I-Project Information'!M108</f>
        <v>0</v>
      </c>
    </row>
    <row r="138" spans="2:13" ht="4.95" customHeight="1"/>
    <row r="139" spans="2:13" ht="13.2" customHeight="1">
      <c r="B139" s="748" t="s">
        <v>3210</v>
      </c>
      <c r="C139" s="748" t="s">
        <v>2898</v>
      </c>
    </row>
    <row r="140" spans="2:13" ht="13.2" customHeight="1"/>
    <row r="141" spans="2:13" ht="13.2" customHeight="1">
      <c r="C141" s="748" t="s">
        <v>3233</v>
      </c>
      <c r="F141" s="748" t="s">
        <v>1772</v>
      </c>
      <c r="J141" s="748" t="s">
        <v>3233</v>
      </c>
      <c r="M141" s="748" t="s">
        <v>1772</v>
      </c>
    </row>
    <row r="142" spans="2:13" ht="13.2" customHeight="1">
      <c r="C142" s="748">
        <f>'Part I-Project Information'!C113</f>
        <v>0</v>
      </c>
      <c r="F142" s="748">
        <f>'Part I-Project Information'!F113</f>
        <v>0</v>
      </c>
      <c r="J142" s="748">
        <f>'Part I-Project Information'!J113</f>
        <v>0</v>
      </c>
      <c r="M142" s="748">
        <f>'Part I-Project Information'!M113</f>
        <v>0</v>
      </c>
    </row>
    <row r="143" spans="2:13" ht="13.2" customHeight="1">
      <c r="C143" s="748">
        <f>'Part I-Project Information'!C114</f>
        <v>0</v>
      </c>
      <c r="F143" s="748">
        <f>'Part I-Project Information'!F114</f>
        <v>0</v>
      </c>
      <c r="J143" s="748">
        <f>'Part I-Project Information'!J114</f>
        <v>0</v>
      </c>
      <c r="M143" s="748">
        <f>'Part I-Project Information'!M114</f>
        <v>0</v>
      </c>
    </row>
    <row r="144" spans="2:13" ht="13.2" customHeight="1">
      <c r="C144" s="748">
        <f>'Part I-Project Information'!C115</f>
        <v>0</v>
      </c>
      <c r="F144" s="748">
        <f>'Part I-Project Information'!F115</f>
        <v>0</v>
      </c>
      <c r="J144" s="748">
        <f>'Part I-Project Information'!J115</f>
        <v>0</v>
      </c>
      <c r="M144" s="748">
        <f>'Part I-Project Information'!M115</f>
        <v>0</v>
      </c>
    </row>
    <row r="145" spans="1:15" ht="13.2" customHeight="1">
      <c r="C145" s="748">
        <f>'Part I-Project Information'!C116</f>
        <v>0</v>
      </c>
      <c r="F145" s="748">
        <f>'Part I-Project Information'!F116</f>
        <v>0</v>
      </c>
      <c r="J145" s="748">
        <f>'Part I-Project Information'!J116</f>
        <v>0</v>
      </c>
      <c r="M145" s="748">
        <f>'Part I-Project Information'!M116</f>
        <v>0</v>
      </c>
    </row>
    <row r="146" spans="1:15" ht="13.2" customHeight="1">
      <c r="C146" s="748">
        <f>'Part I-Project Information'!C117</f>
        <v>0</v>
      </c>
      <c r="F146" s="748">
        <f>'Part I-Project Information'!F117</f>
        <v>0</v>
      </c>
      <c r="J146" s="748">
        <f>'Part I-Project Information'!J117</f>
        <v>0</v>
      </c>
      <c r="M146" s="748">
        <f>'Part I-Project Information'!M117</f>
        <v>0</v>
      </c>
    </row>
    <row r="147" spans="1:15" ht="13.2" customHeight="1">
      <c r="C147" s="748">
        <f>'Part I-Project Information'!C118</f>
        <v>0</v>
      </c>
      <c r="F147" s="748">
        <f>'Part I-Project Information'!F118</f>
        <v>0</v>
      </c>
      <c r="J147" s="748">
        <f>'Part I-Project Information'!J118</f>
        <v>0</v>
      </c>
      <c r="M147" s="748">
        <f>'Part I-Project Information'!M118</f>
        <v>0</v>
      </c>
    </row>
    <row r="148" spans="1:15" ht="13.2" customHeight="1">
      <c r="C148" s="748">
        <f>'Part I-Project Information'!C119</f>
        <v>0</v>
      </c>
      <c r="F148" s="748">
        <f>'Part I-Project Information'!F119</f>
        <v>0</v>
      </c>
      <c r="J148" s="748">
        <f>'Part I-Project Information'!J119</f>
        <v>0</v>
      </c>
      <c r="M148" s="748">
        <f>'Part I-Project Information'!M119</f>
        <v>0</v>
      </c>
    </row>
    <row r="149" spans="1:15" ht="6.6" customHeight="1"/>
    <row r="150" spans="1:15" ht="13.2" customHeight="1">
      <c r="A150" s="748" t="s">
        <v>464</v>
      </c>
      <c r="C150" s="748" t="s">
        <v>3663</v>
      </c>
      <c r="H150" s="748" t="str">
        <f>'Part I-Project Information'!H121</f>
        <v>Yes</v>
      </c>
    </row>
    <row r="151" spans="1:15" ht="3" customHeight="1"/>
    <row r="152" spans="1:15" ht="13.2" customHeight="1">
      <c r="B152" s="748" t="s">
        <v>3058</v>
      </c>
      <c r="C152" s="748" t="s">
        <v>2730</v>
      </c>
      <c r="H152" s="748" t="str">
        <f>'Part I-Project Information'!H123</f>
        <v>Yes</v>
      </c>
    </row>
    <row r="153" spans="1:15" ht="13.2" customHeight="1">
      <c r="C153" s="748" t="s">
        <v>3665</v>
      </c>
      <c r="H153" s="748">
        <f>'Part I-Project Information'!H124</f>
        <v>1988</v>
      </c>
    </row>
    <row r="154" spans="1:15" ht="13.2" customHeight="1">
      <c r="C154" s="748" t="s">
        <v>2729</v>
      </c>
      <c r="H154" s="748" t="str">
        <f>'Part I-Project Information'!H125</f>
        <v>See Below for Explanation</v>
      </c>
    </row>
    <row r="155" spans="1:15" ht="13.2" customHeight="1">
      <c r="C155" s="748" t="s">
        <v>3666</v>
      </c>
      <c r="H155" s="748">
        <f>'Part I-Project Information'!H126</f>
        <v>1988</v>
      </c>
      <c r="K155" s="748" t="s">
        <v>3373</v>
      </c>
      <c r="O155" s="748" t="str">
        <f>'Part I-Project Information'!O126</f>
        <v>GA-88-00101</v>
      </c>
    </row>
    <row r="156" spans="1:15" ht="13.2" customHeight="1">
      <c r="C156" s="748" t="s">
        <v>3664</v>
      </c>
      <c r="H156" s="748" t="str">
        <f>'Part I-Project Information'!H127</f>
        <v>Yes</v>
      </c>
      <c r="K156" s="748" t="s">
        <v>3374</v>
      </c>
      <c r="O156" s="748" t="str">
        <f>'Part I-Project Information'!O127</f>
        <v>GA-88-00106</v>
      </c>
    </row>
    <row r="157" spans="1:15" ht="13.2" customHeight="1">
      <c r="C157" s="748" t="s">
        <v>3271</v>
      </c>
      <c r="H157" s="748">
        <f>'Part I-Project Information'!H128</f>
        <v>37694</v>
      </c>
    </row>
    <row r="158" spans="1:15" ht="3" customHeight="1"/>
    <row r="159" spans="1:15" ht="13.2" customHeight="1">
      <c r="B159" s="748" t="s">
        <v>3061</v>
      </c>
      <c r="C159" s="748" t="s">
        <v>3768</v>
      </c>
      <c r="H159" s="748" t="str">
        <f>'Part I-Project Information'!H130</f>
        <v>No</v>
      </c>
    </row>
    <row r="160" spans="1:15" ht="3" customHeight="1"/>
    <row r="161" spans="1:16" ht="13.2" customHeight="1">
      <c r="B161" s="748" t="s">
        <v>1237</v>
      </c>
      <c r="C161" s="748" t="s">
        <v>980</v>
      </c>
    </row>
    <row r="162" spans="1:16" ht="13.2" customHeight="1">
      <c r="C162" s="748" t="s">
        <v>4061</v>
      </c>
      <c r="H162" s="748" t="str">
        <f>'Part I-Project Information'!H133</f>
        <v>No</v>
      </c>
      <c r="K162" s="748" t="s">
        <v>2285</v>
      </c>
      <c r="O162" s="748" t="str">
        <f>'Part I-Project Information'!O133</f>
        <v>No</v>
      </c>
    </row>
    <row r="163" spans="1:16" ht="13.2" customHeight="1">
      <c r="C163" s="748" t="s">
        <v>4062</v>
      </c>
      <c r="H163" s="748" t="str">
        <f>'Part I-Project Information'!H134</f>
        <v>No</v>
      </c>
    </row>
    <row r="164" spans="1:16" ht="6" customHeight="1"/>
    <row r="165" spans="1:16" ht="13.2" customHeight="1">
      <c r="A165" s="748" t="s">
        <v>465</v>
      </c>
      <c r="C165" s="748" t="s">
        <v>1834</v>
      </c>
    </row>
    <row r="166" spans="1:16" ht="1.95" customHeight="1"/>
    <row r="167" spans="1:16" ht="13.2" customHeight="1">
      <c r="B167" s="748" t="s">
        <v>3058</v>
      </c>
      <c r="C167" s="748" t="s">
        <v>2863</v>
      </c>
    </row>
    <row r="168" spans="1:16" ht="12.6" customHeight="1">
      <c r="C168" s="748" t="s">
        <v>2277</v>
      </c>
      <c r="K168" s="748">
        <f>'Part I-Project Information'!K139</f>
        <v>0</v>
      </c>
    </row>
    <row r="169" spans="1:16" ht="12.6" customHeight="1">
      <c r="C169" s="748" t="s">
        <v>948</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952</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5" customHeight="1"/>
    <row r="176" spans="1:16" ht="12.6" customHeight="1">
      <c r="B176" s="748" t="s">
        <v>3061</v>
      </c>
      <c r="C176" s="748" t="s">
        <v>2371</v>
      </c>
      <c r="I176" s="748" t="str">
        <f>'Part I-Project Information'!I147</f>
        <v>No</v>
      </c>
      <c r="J176" s="748" t="s">
        <v>1252</v>
      </c>
      <c r="L176" s="748">
        <f>'Part I-Project Information'!L147</f>
        <v>0</v>
      </c>
      <c r="M176" s="748" t="s">
        <v>3469</v>
      </c>
      <c r="P176" s="748">
        <f>'Part I-Project Information'!P147</f>
        <v>0</v>
      </c>
    </row>
    <row r="177" spans="2:16" ht="1.95" customHeight="1"/>
    <row r="178" spans="2:16" ht="12.6" customHeight="1">
      <c r="B178" s="748" t="s">
        <v>1237</v>
      </c>
      <c r="C178" s="748" t="s">
        <v>2784</v>
      </c>
      <c r="I178" s="748" t="str">
        <f>'Part I-Project Information'!I149</f>
        <v>No</v>
      </c>
    </row>
    <row r="179" spans="2:16" ht="1.95" customHeight="1"/>
    <row r="180" spans="2:16" ht="12.6" customHeight="1">
      <c r="B180" s="748" t="s">
        <v>3210</v>
      </c>
      <c r="C180" s="748" t="s">
        <v>3053</v>
      </c>
      <c r="I180" s="748" t="str">
        <f>'Part I-Project Information'!I151</f>
        <v>Yes</v>
      </c>
    </row>
    <row r="181" spans="2:16" ht="12.6" customHeight="1">
      <c r="C181" s="748" t="s">
        <v>2208</v>
      </c>
      <c r="I181" s="748">
        <f>'Part I-Project Information'!I152</f>
        <v>48</v>
      </c>
    </row>
    <row r="182" spans="2:16" ht="12.6" customHeight="1">
      <c r="C182" s="748" t="s">
        <v>1378</v>
      </c>
      <c r="I182" s="748">
        <f>'Part I-Project Information'!I153</f>
        <v>43</v>
      </c>
    </row>
    <row r="183" spans="2:16" ht="12.6" customHeight="1">
      <c r="C183" s="748" t="s">
        <v>2821</v>
      </c>
      <c r="I183" s="748">
        <f>IF(I181="","",I182/I181)</f>
        <v>0.89583333333333337</v>
      </c>
    </row>
    <row r="184" spans="2:16" ht="1.95" customHeight="1"/>
    <row r="185" spans="2:16" ht="13.2" customHeight="1">
      <c r="B185" s="748" t="s">
        <v>2761</v>
      </c>
      <c r="C185" s="748" t="s">
        <v>2372</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Yes</v>
      </c>
      <c r="L189" s="748" t="s">
        <v>2288</v>
      </c>
      <c r="P189" s="748" t="str">
        <f>'Part I-Project Information'!P160</f>
        <v>No</v>
      </c>
    </row>
    <row r="190" spans="2:16" ht="12.6" customHeight="1">
      <c r="C190" s="748" t="s">
        <v>2375</v>
      </c>
      <c r="I190" s="748" t="str">
        <f>'Part I-Project Information'!I161</f>
        <v>Yes</v>
      </c>
    </row>
    <row r="191" spans="2:16" ht="12.6" customHeight="1">
      <c r="C191" s="748" t="s">
        <v>2843</v>
      </c>
      <c r="I191" s="748" t="str">
        <f>'Part I-Project Information'!I162</f>
        <v>No</v>
      </c>
      <c r="J191" s="748" t="s">
        <v>3372</v>
      </c>
      <c r="O191" s="748">
        <f>'Part I-Project Information'!O162</f>
        <v>0</v>
      </c>
    </row>
    <row r="192" spans="2:16" ht="12.6" customHeight="1">
      <c r="C192" s="748" t="s">
        <v>3408</v>
      </c>
      <c r="E192" s="748">
        <f>'Part I-Project Information'!E163</f>
        <v>0</v>
      </c>
      <c r="I192" s="748">
        <f>'Part I-Project Information'!I163</f>
        <v>0</v>
      </c>
    </row>
    <row r="193" spans="1:12" ht="1.95" customHeight="1"/>
    <row r="194" spans="1:12" ht="13.2" customHeight="1">
      <c r="B194" s="748" t="s">
        <v>2762</v>
      </c>
      <c r="C194" s="748" t="s">
        <v>1227</v>
      </c>
    </row>
    <row r="195" spans="1:12" ht="12.6" customHeight="1">
      <c r="C195" s="748" t="s">
        <v>974</v>
      </c>
      <c r="I195" s="748">
        <f>'Part I-Project Information'!I166</f>
        <v>41061</v>
      </c>
    </row>
    <row r="196" spans="1:12" ht="12.6" customHeight="1">
      <c r="C196" s="748" t="s">
        <v>367</v>
      </c>
      <c r="I196" s="748">
        <f>'Part I-Project Information'!I167</f>
        <v>41334</v>
      </c>
    </row>
    <row r="197" spans="1:12" ht="12.6" customHeight="1">
      <c r="C197" s="748" t="s">
        <v>3434</v>
      </c>
      <c r="I197" s="748">
        <f>'Part I-Project Information'!I168</f>
        <v>0</v>
      </c>
    </row>
    <row r="198" spans="1:12" ht="1.95" customHeight="1"/>
    <row r="199" spans="1:12" ht="12" customHeight="1">
      <c r="A199" s="748" t="s">
        <v>2751</v>
      </c>
      <c r="C199" s="748" t="s">
        <v>878</v>
      </c>
      <c r="K199" s="748" t="s">
        <v>3379</v>
      </c>
      <c r="L199" s="748" t="s">
        <v>89</v>
      </c>
    </row>
    <row r="200" spans="1:12" ht="38.4" customHeight="1">
      <c r="A200" s="748" t="str">
        <f>'Part I-Project Information'!A171</f>
        <v xml:space="preserve"> The Project Number is not available. We issued a GORA request and were told by DCA that the files for this original application are no longer available since it was a 1988 allocation. </v>
      </c>
      <c r="K200" s="748">
        <f>'Part I-Project Information'!K171</f>
        <v>0</v>
      </c>
    </row>
    <row r="201" spans="1:12" ht="38.4" customHeight="1">
      <c r="A201" s="748">
        <f>'Part I-Project Information'!A172</f>
        <v>0</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2011-003 Pecan Point Apartments, , City of Cairo Development Authority County</v>
      </c>
    </row>
    <row r="206" spans="1:12" ht="12" customHeight="1"/>
    <row r="207" spans="1:12" ht="13.2" customHeight="1">
      <c r="A207" s="748" t="s">
        <v>949</v>
      </c>
      <c r="B207" s="748" t="s">
        <v>2911</v>
      </c>
    </row>
    <row r="208" spans="1:12" ht="8.4" customHeight="1"/>
    <row r="209" spans="2:17" ht="12.6" customHeight="1">
      <c r="B209" s="748" t="s">
        <v>3058</v>
      </c>
      <c r="C209" s="748" t="s">
        <v>2907</v>
      </c>
      <c r="H209" s="748" t="str">
        <f>'Part II-Development Team'!H5</f>
        <v>Pecan Point Apartments HP Partners, LP</v>
      </c>
      <c r="O209" s="748" t="s">
        <v>3065</v>
      </c>
      <c r="Q209" s="748" t="str">
        <f>'Part II-Development Team'!Q5</f>
        <v>Kenneth G. Blankenship</v>
      </c>
    </row>
    <row r="210" spans="2:17" ht="12.6" customHeight="1">
      <c r="E210" s="748" t="s">
        <v>1640</v>
      </c>
      <c r="H210" s="748" t="str">
        <f>'Part II-Development Team'!H6</f>
        <v>3715 Northside Parkway, Bldg 200 Suite 175</v>
      </c>
      <c r="O210" s="748" t="s">
        <v>2774</v>
      </c>
      <c r="Q210" s="748" t="str">
        <f>'Part II-Development Team'!Q6</f>
        <v>Manager</v>
      </c>
    </row>
    <row r="211" spans="2:17" ht="12.6" customHeight="1">
      <c r="E211" s="748" t="s">
        <v>952</v>
      </c>
      <c r="H211" s="748" t="str">
        <f>'Part II-Development Team'!H7</f>
        <v>Atlanta</v>
      </c>
      <c r="K211" s="748" t="s">
        <v>1253</v>
      </c>
      <c r="L211" s="748">
        <f>'Part II-Development Team'!L7</f>
        <v>0</v>
      </c>
      <c r="O211" s="748" t="s">
        <v>2833</v>
      </c>
      <c r="Q211" s="748">
        <f>'Part II-Development Team'!Q7</f>
        <v>4049493873</v>
      </c>
    </row>
    <row r="212" spans="2:17" ht="12.6" customHeight="1">
      <c r="E212" s="748" t="s">
        <v>2829</v>
      </c>
      <c r="H212" s="748" t="str">
        <f>'Part II-Development Team'!H8</f>
        <v>GA</v>
      </c>
      <c r="I212" s="748" t="s">
        <v>4063</v>
      </c>
      <c r="J212" s="748">
        <f>'Part II-Development Team'!J8</f>
        <v>303272800</v>
      </c>
      <c r="L212" s="748" t="s">
        <v>4064</v>
      </c>
      <c r="N212" s="748">
        <f>'Part II-Development Team'!N8</f>
        <v>5</v>
      </c>
      <c r="O212" s="748" t="s">
        <v>3054</v>
      </c>
      <c r="Q212" s="748">
        <f>'Part II-Development Team'!Q8</f>
        <v>7708619049</v>
      </c>
    </row>
    <row r="213" spans="2:17" ht="12.6" customHeight="1">
      <c r="E213" s="748" t="s">
        <v>3060</v>
      </c>
      <c r="H213" s="748">
        <f>'Part II-Development Team'!H9</f>
        <v>4049493873</v>
      </c>
      <c r="J213" s="748">
        <f>'Part II-Development Team'!J9</f>
        <v>0</v>
      </c>
      <c r="K213" s="748" t="s">
        <v>2832</v>
      </c>
      <c r="L213" s="748">
        <f>'Part II-Development Team'!L9</f>
        <v>4049493880</v>
      </c>
      <c r="N213" s="748" t="s">
        <v>3059</v>
      </c>
      <c r="O213" s="748" t="str">
        <f>'Part II-Development Team'!O9</f>
        <v>ken.blankenship@prestwickdevelopment.com</v>
      </c>
    </row>
    <row r="214" spans="2:17" ht="13.2" customHeight="1">
      <c r="E214" s="748" t="s">
        <v>996</v>
      </c>
      <c r="L214" s="748" t="s">
        <v>1213</v>
      </c>
    </row>
    <row r="215" spans="2:17" ht="4.2" customHeight="1"/>
    <row r="216" spans="2:17" ht="13.2" customHeight="1">
      <c r="B216" s="748" t="s">
        <v>3061</v>
      </c>
      <c r="C216" s="748" t="s">
        <v>2908</v>
      </c>
      <c r="L216" s="748" t="s">
        <v>1970</v>
      </c>
      <c r="O216" s="748" t="s">
        <v>1971</v>
      </c>
    </row>
    <row r="217" spans="2:17" ht="4.2" customHeight="1"/>
    <row r="218" spans="2:17" ht="13.2" customHeight="1">
      <c r="C218" s="748" t="s">
        <v>3062</v>
      </c>
      <c r="D218" s="748" t="s">
        <v>3063</v>
      </c>
      <c r="L218" s="748" t="s">
        <v>1974</v>
      </c>
      <c r="O218" s="748" t="s">
        <v>1969</v>
      </c>
    </row>
    <row r="219" spans="2:17" ht="4.2" customHeight="1"/>
    <row r="220" spans="2:17" ht="12.6" customHeight="1">
      <c r="D220" s="748" t="s">
        <v>3211</v>
      </c>
      <c r="E220" s="748" t="s">
        <v>2909</v>
      </c>
      <c r="H220" s="748" t="str">
        <f>'Part II-Development Team'!H16</f>
        <v>Pecan Point Apartments GP, LLC</v>
      </c>
      <c r="O220" s="748" t="s">
        <v>3065</v>
      </c>
      <c r="Q220" s="748" t="str">
        <f>'Part II-Development Team'!Q16</f>
        <v>Kenneth G. Blankenship</v>
      </c>
    </row>
    <row r="221" spans="2:17" ht="12.6" customHeight="1">
      <c r="E221" s="748" t="s">
        <v>1640</v>
      </c>
      <c r="H221" s="748" t="str">
        <f>'Part II-Development Team'!H17</f>
        <v>3715 Northside Parkway, Bldg 200 Suite 175</v>
      </c>
      <c r="O221" s="748" t="s">
        <v>2774</v>
      </c>
      <c r="Q221" s="748" t="str">
        <f>'Part II-Development Team'!Q17</f>
        <v>Manager</v>
      </c>
    </row>
    <row r="222" spans="2:17" ht="12.6" customHeight="1">
      <c r="E222" s="748" t="s">
        <v>952</v>
      </c>
      <c r="H222" s="748" t="str">
        <f>'Part II-Development Team'!H18</f>
        <v>Atlanta</v>
      </c>
      <c r="O222" s="748" t="s">
        <v>2833</v>
      </c>
      <c r="Q222" s="748">
        <f>'Part II-Development Team'!Q18</f>
        <v>4049493873</v>
      </c>
    </row>
    <row r="223" spans="2:17" ht="12.6" customHeight="1">
      <c r="E223" s="748" t="s">
        <v>2829</v>
      </c>
      <c r="H223" s="748" t="str">
        <f>'Part II-Development Team'!H19</f>
        <v>GA</v>
      </c>
      <c r="I223" s="748" t="s">
        <v>4063</v>
      </c>
      <c r="J223" s="748">
        <f>'Part II-Development Team'!J19</f>
        <v>303272800</v>
      </c>
      <c r="L223" s="748" t="s">
        <v>4064</v>
      </c>
      <c r="N223" s="748">
        <f>'Part II-Development Team'!N19</f>
        <v>5</v>
      </c>
      <c r="O223" s="748" t="s">
        <v>3054</v>
      </c>
      <c r="Q223" s="748">
        <f>'Part II-Development Team'!Q19</f>
        <v>7708619049</v>
      </c>
    </row>
    <row r="224" spans="2:17" ht="12.6" customHeight="1">
      <c r="E224" s="748" t="s">
        <v>3060</v>
      </c>
      <c r="H224" s="748">
        <f>'Part II-Development Team'!H20</f>
        <v>4049493873</v>
      </c>
      <c r="J224" s="748">
        <f>'Part II-Development Team'!J20</f>
        <v>0</v>
      </c>
      <c r="K224" s="748" t="s">
        <v>2832</v>
      </c>
      <c r="L224" s="748">
        <f>'Part II-Development Team'!L20</f>
        <v>4049493880</v>
      </c>
      <c r="N224" s="748" t="s">
        <v>3059</v>
      </c>
      <c r="O224" s="748" t="str">
        <f>'Part II-Development Team'!O20</f>
        <v>ken.blankenship@prestwickdevelopment.com</v>
      </c>
    </row>
    <row r="225" spans="3:17" ht="4.2"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2" customHeight="1"/>
    <row r="232" spans="3:17" ht="12.6" customHeight="1">
      <c r="D232" s="748" t="s">
        <v>2760</v>
      </c>
      <c r="E232" s="748" t="s">
        <v>2910</v>
      </c>
      <c r="H232" s="748">
        <f>'Part II-Development Team'!H28</f>
        <v>0</v>
      </c>
      <c r="O232" s="748" t="s">
        <v>3065</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2" customHeight="1"/>
    <row r="238" spans="3:17" ht="13.2" customHeight="1">
      <c r="C238" s="748" t="s">
        <v>3064</v>
      </c>
      <c r="D238" s="748" t="s">
        <v>2912</v>
      </c>
    </row>
    <row r="239" spans="3:17" ht="4.2" customHeight="1"/>
    <row r="240" spans="3:17" ht="12.6" customHeight="1">
      <c r="D240" s="748" t="s">
        <v>3211</v>
      </c>
      <c r="E240" s="748" t="s">
        <v>1238</v>
      </c>
      <c r="H240" s="748" t="str">
        <f>'Part II-Development Team'!H36</f>
        <v>Direct Tax Credits, LLC</v>
      </c>
      <c r="O240" s="748" t="s">
        <v>3065</v>
      </c>
      <c r="Q240" s="748" t="str">
        <f>'Part II-Development Team'!Q36</f>
        <v>Paul Smith</v>
      </c>
    </row>
    <row r="241" spans="3:17" ht="12.6" customHeight="1">
      <c r="E241" s="748" t="s">
        <v>1640</v>
      </c>
      <c r="H241" s="748" t="str">
        <f>'Part II-Development Team'!H37</f>
        <v>200 Westpark Drive, Suite 240</v>
      </c>
      <c r="O241" s="748" t="s">
        <v>2774</v>
      </c>
      <c r="Q241" s="748" t="str">
        <f>'Part II-Development Team'!Q37</f>
        <v>Executive Vice President</v>
      </c>
    </row>
    <row r="242" spans="3:17" ht="12.6" customHeight="1">
      <c r="E242" s="748" t="s">
        <v>952</v>
      </c>
      <c r="H242" s="748" t="str">
        <f>'Part II-Development Team'!H38</f>
        <v>Peachtree City</v>
      </c>
      <c r="O242" s="748" t="s">
        <v>2833</v>
      </c>
      <c r="Q242" s="748">
        <f>'Part II-Development Team'!Q38</f>
        <v>7704870555</v>
      </c>
    </row>
    <row r="243" spans="3:17" ht="12.6" customHeight="1">
      <c r="E243" s="748" t="s">
        <v>2829</v>
      </c>
      <c r="H243" s="748" t="str">
        <f>'Part II-Development Team'!H39</f>
        <v>GA</v>
      </c>
      <c r="I243" s="748" t="s">
        <v>3352</v>
      </c>
      <c r="J243" s="748">
        <f>'Part II-Development Team'!J39</f>
        <v>302691530</v>
      </c>
      <c r="O243" s="748" t="s">
        <v>3054</v>
      </c>
      <c r="Q243" s="748">
        <f>'Part II-Development Team'!Q39</f>
        <v>7702805165</v>
      </c>
    </row>
    <row r="244" spans="3:17" ht="12.6" customHeight="1">
      <c r="E244" s="748" t="s">
        <v>3060</v>
      </c>
      <c r="H244" s="748">
        <f>'Part II-Development Team'!H40</f>
        <v>7704870555</v>
      </c>
      <c r="J244" s="748">
        <f>'Part II-Development Team'!J40</f>
        <v>0</v>
      </c>
      <c r="K244" s="748" t="s">
        <v>2832</v>
      </c>
      <c r="L244" s="748">
        <f>'Part II-Development Team'!L40</f>
        <v>6783649958</v>
      </c>
      <c r="N244" s="748" t="s">
        <v>3059</v>
      </c>
      <c r="O244" s="748" t="str">
        <f>'Part II-Development Team'!O40</f>
        <v>psmith@directtaxcredits.com</v>
      </c>
    </row>
    <row r="245" spans="3:17" ht="4.2" customHeight="1"/>
    <row r="246" spans="3:17" ht="12.6" customHeight="1">
      <c r="D246" s="748" t="s">
        <v>3212</v>
      </c>
      <c r="E246" s="748" t="s">
        <v>1239</v>
      </c>
      <c r="H246" s="748" t="str">
        <f>'Part II-Development Team'!H42</f>
        <v>Direct Tax Credits, LLC</v>
      </c>
      <c r="O246" s="748" t="s">
        <v>3065</v>
      </c>
      <c r="Q246" s="748" t="str">
        <f>'Part II-Development Team'!Q42</f>
        <v>Paul Smith</v>
      </c>
    </row>
    <row r="247" spans="3:17" ht="12.6" customHeight="1">
      <c r="E247" s="748" t="s">
        <v>1640</v>
      </c>
      <c r="H247" s="748" t="str">
        <f>'Part II-Development Team'!H43</f>
        <v>200 Westpark Drive, Suite 240</v>
      </c>
      <c r="O247" s="748" t="s">
        <v>2774</v>
      </c>
      <c r="Q247" s="748" t="str">
        <f>'Part II-Development Team'!Q43</f>
        <v>Executive Vice President</v>
      </c>
    </row>
    <row r="248" spans="3:17" ht="12.6" customHeight="1">
      <c r="E248" s="748" t="s">
        <v>952</v>
      </c>
      <c r="H248" s="748" t="str">
        <f>'Part II-Development Team'!H44</f>
        <v xml:space="preserve">Peachtree City </v>
      </c>
      <c r="O248" s="748" t="s">
        <v>2833</v>
      </c>
      <c r="Q248" s="748">
        <f>'Part II-Development Team'!Q44</f>
        <v>7704870555</v>
      </c>
    </row>
    <row r="249" spans="3:17" ht="12.6" customHeight="1">
      <c r="E249" s="748" t="s">
        <v>2829</v>
      </c>
      <c r="H249" s="748" t="str">
        <f>'Part II-Development Team'!H45</f>
        <v>GA</v>
      </c>
      <c r="I249" s="748" t="s">
        <v>3352</v>
      </c>
      <c r="J249" s="748">
        <f>'Part II-Development Team'!J45</f>
        <v>302691530</v>
      </c>
      <c r="O249" s="748" t="s">
        <v>3054</v>
      </c>
      <c r="Q249" s="748">
        <f>'Part II-Development Team'!Q45</f>
        <v>7702805165</v>
      </c>
    </row>
    <row r="250" spans="3:17" ht="12.6" customHeight="1">
      <c r="E250" s="748" t="s">
        <v>3060</v>
      </c>
      <c r="H250" s="748">
        <f>'Part II-Development Team'!H46</f>
        <v>7704870555</v>
      </c>
      <c r="J250" s="748">
        <f>'Part II-Development Team'!J46</f>
        <v>0</v>
      </c>
      <c r="K250" s="748" t="s">
        <v>2832</v>
      </c>
      <c r="L250" s="748">
        <f>'Part II-Development Team'!L46</f>
        <v>6783649958</v>
      </c>
      <c r="N250" s="748" t="s">
        <v>3059</v>
      </c>
      <c r="O250" s="748" t="str">
        <f>'Part II-Development Team'!O46</f>
        <v>psmith@directtaxcredits.com</v>
      </c>
    </row>
    <row r="251" spans="3:17" ht="4.2" customHeight="1"/>
    <row r="252" spans="3:17" ht="13.2" customHeight="1">
      <c r="C252" s="748" t="s">
        <v>3821</v>
      </c>
      <c r="D252" s="748" t="s">
        <v>993</v>
      </c>
    </row>
    <row r="253" spans="3:17" ht="4.2" customHeight="1"/>
    <row r="254" spans="3:17" ht="12.6" customHeight="1">
      <c r="E254" s="748" t="s">
        <v>103</v>
      </c>
      <c r="H254" s="748">
        <f>'Part II-Development Team'!H50</f>
        <v>0</v>
      </c>
      <c r="O254" s="748" t="s">
        <v>3065</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2" customHeight="1"/>
    <row r="260" spans="1:17" ht="13.2" customHeight="1">
      <c r="A260" s="748" t="s">
        <v>1228</v>
      </c>
      <c r="B260" s="748" t="s">
        <v>994</v>
      </c>
    </row>
    <row r="261" spans="1:17" ht="9" customHeight="1"/>
    <row r="262" spans="1:17" ht="13.2" customHeight="1">
      <c r="B262" s="748" t="s">
        <v>3058</v>
      </c>
      <c r="C262" s="748" t="s">
        <v>375</v>
      </c>
      <c r="H262" s="748" t="str">
        <f>'Part II-Development Team'!H58</f>
        <v>Prestwick Development Company, LLC</v>
      </c>
      <c r="O262" s="748" t="s">
        <v>3065</v>
      </c>
      <c r="Q262" s="748" t="str">
        <f>'Part II-Development Team'!Q58</f>
        <v>Kenneth G. Blankenship</v>
      </c>
    </row>
    <row r="263" spans="1:17" ht="13.2" customHeight="1">
      <c r="E263" s="748" t="s">
        <v>1640</v>
      </c>
      <c r="H263" s="748" t="str">
        <f>'Part II-Development Team'!H59</f>
        <v>3715 Northside Parkway, Bldg 200 Suite 175</v>
      </c>
      <c r="O263" s="748" t="s">
        <v>2774</v>
      </c>
      <c r="Q263" s="748" t="str">
        <f>'Part II-Development Team'!Q59</f>
        <v>Partner</v>
      </c>
    </row>
    <row r="264" spans="1:17" ht="13.2" customHeight="1">
      <c r="E264" s="748" t="s">
        <v>952</v>
      </c>
      <c r="H264" s="748" t="str">
        <f>'Part II-Development Team'!H60</f>
        <v>Atlanta</v>
      </c>
      <c r="O264" s="748" t="s">
        <v>2833</v>
      </c>
      <c r="Q264" s="748">
        <f>'Part II-Development Team'!Q60</f>
        <v>4049493873</v>
      </c>
    </row>
    <row r="265" spans="1:17" ht="13.2" customHeight="1">
      <c r="E265" s="748" t="s">
        <v>2829</v>
      </c>
      <c r="H265" s="748" t="str">
        <f>'Part II-Development Team'!H61</f>
        <v>GA</v>
      </c>
      <c r="I265" s="748" t="s">
        <v>3352</v>
      </c>
      <c r="J265" s="748">
        <f>'Part II-Development Team'!J61</f>
        <v>303272800</v>
      </c>
      <c r="O265" s="748" t="s">
        <v>3054</v>
      </c>
      <c r="Q265" s="748">
        <f>'Part II-Development Team'!Q61</f>
        <v>7708619049</v>
      </c>
    </row>
    <row r="266" spans="1:17" ht="13.2" customHeight="1">
      <c r="E266" s="748" t="s">
        <v>3060</v>
      </c>
      <c r="H266" s="748">
        <f>'Part II-Development Team'!H62</f>
        <v>4049493873</v>
      </c>
      <c r="J266" s="748">
        <f>'Part II-Development Team'!J62</f>
        <v>0</v>
      </c>
      <c r="K266" s="748" t="s">
        <v>2832</v>
      </c>
      <c r="L266" s="748">
        <f>'Part II-Development Team'!L62</f>
        <v>4049493880</v>
      </c>
      <c r="N266" s="748" t="s">
        <v>3059</v>
      </c>
      <c r="O266" s="748" t="str">
        <f>'Part II-Development Team'!O62</f>
        <v>ken.blankenship@prestwickdevelopment.com</v>
      </c>
    </row>
    <row r="267" spans="1:17" ht="6.6" customHeight="1"/>
    <row r="268" spans="1:17" ht="13.2" customHeight="1">
      <c r="B268" s="748" t="s">
        <v>3061</v>
      </c>
      <c r="C268" s="748" t="s">
        <v>376</v>
      </c>
      <c r="H268" s="748">
        <f>'Part II-Development Team'!H64</f>
        <v>0</v>
      </c>
      <c r="O268" s="748" t="s">
        <v>3065</v>
      </c>
      <c r="Q268" s="748">
        <f>'Part II-Development Team'!Q64</f>
        <v>0</v>
      </c>
    </row>
    <row r="269" spans="1:17" ht="13.2" customHeight="1">
      <c r="E269" s="748" t="s">
        <v>1640</v>
      </c>
      <c r="H269" s="748">
        <f>'Part II-Development Team'!H65</f>
        <v>0</v>
      </c>
      <c r="O269" s="748" t="s">
        <v>2774</v>
      </c>
      <c r="Q269" s="748">
        <f>'Part II-Development Team'!Q65</f>
        <v>0</v>
      </c>
    </row>
    <row r="270" spans="1:17" ht="13.2" customHeight="1">
      <c r="E270" s="748" t="s">
        <v>952</v>
      </c>
      <c r="H270" s="748">
        <f>'Part II-Development Team'!H66</f>
        <v>0</v>
      </c>
      <c r="O270" s="748" t="s">
        <v>2833</v>
      </c>
      <c r="Q270" s="748">
        <f>'Part II-Development Team'!Q66</f>
        <v>0</v>
      </c>
    </row>
    <row r="271" spans="1:17" ht="13.2" customHeight="1">
      <c r="E271" s="748" t="s">
        <v>2829</v>
      </c>
      <c r="H271" s="748">
        <f>'Part II-Development Team'!H67</f>
        <v>0</v>
      </c>
      <c r="I271" s="748" t="s">
        <v>3352</v>
      </c>
      <c r="J271" s="748">
        <f>'Part II-Development Team'!J67</f>
        <v>0</v>
      </c>
      <c r="O271" s="748" t="s">
        <v>3054</v>
      </c>
      <c r="Q271" s="748">
        <f>'Part II-Development Team'!Q67</f>
        <v>0</v>
      </c>
    </row>
    <row r="272" spans="1:17" ht="13.2"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2" customHeight="1">
      <c r="B274" s="748" t="s">
        <v>1237</v>
      </c>
      <c r="C274" s="748" t="s">
        <v>2278</v>
      </c>
      <c r="H274" s="748">
        <f>'Part II-Development Team'!H70</f>
        <v>0</v>
      </c>
      <c r="O274" s="748" t="s">
        <v>3065</v>
      </c>
      <c r="Q274" s="748">
        <f>'Part II-Development Team'!Q70</f>
        <v>0</v>
      </c>
    </row>
    <row r="275" spans="1:17" ht="13.2" customHeight="1">
      <c r="E275" s="748" t="s">
        <v>1640</v>
      </c>
      <c r="H275" s="748">
        <f>'Part II-Development Team'!H71</f>
        <v>0</v>
      </c>
      <c r="O275" s="748" t="s">
        <v>2774</v>
      </c>
      <c r="Q275" s="748">
        <f>'Part II-Development Team'!Q71</f>
        <v>0</v>
      </c>
    </row>
    <row r="276" spans="1:17" ht="13.2" customHeight="1">
      <c r="E276" s="748" t="s">
        <v>952</v>
      </c>
      <c r="H276" s="748">
        <f>'Part II-Development Team'!H72</f>
        <v>0</v>
      </c>
      <c r="O276" s="748" t="s">
        <v>2833</v>
      </c>
      <c r="Q276" s="748">
        <f>'Part II-Development Team'!Q72</f>
        <v>0</v>
      </c>
    </row>
    <row r="277" spans="1:17" ht="13.2" customHeight="1">
      <c r="E277" s="748" t="s">
        <v>2829</v>
      </c>
      <c r="H277" s="748">
        <f>'Part II-Development Team'!H73</f>
        <v>0</v>
      </c>
      <c r="I277" s="748" t="s">
        <v>3352</v>
      </c>
      <c r="J277" s="748">
        <f>'Part II-Development Team'!J73</f>
        <v>0</v>
      </c>
      <c r="O277" s="748" t="s">
        <v>3054</v>
      </c>
      <c r="Q277" s="748">
        <f>'Part II-Development Team'!Q73</f>
        <v>0</v>
      </c>
    </row>
    <row r="278" spans="1:17" ht="13.2"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2" customHeight="1">
      <c r="B280" s="748" t="s">
        <v>3210</v>
      </c>
      <c r="C280" s="748" t="s">
        <v>377</v>
      </c>
      <c r="H280" s="748" t="str">
        <f>'Part II-Development Team'!H76</f>
        <v>Martin H. Petersen</v>
      </c>
      <c r="O280" s="748" t="s">
        <v>3065</v>
      </c>
      <c r="Q280" s="748" t="str">
        <f>'Part II-Development Team'!Q76</f>
        <v>Martin H. Petersen</v>
      </c>
    </row>
    <row r="281" spans="1:17" ht="13.2" customHeight="1">
      <c r="E281" s="748" t="s">
        <v>1640</v>
      </c>
      <c r="H281" s="748" t="str">
        <f>'Part II-Development Team'!H77</f>
        <v>3111 Paces Mill Rd</v>
      </c>
      <c r="O281" s="748" t="s">
        <v>2774</v>
      </c>
      <c r="Q281" s="748" t="str">
        <f>'Part II-Development Team'!Q77</f>
        <v>Individual</v>
      </c>
    </row>
    <row r="282" spans="1:17" ht="13.2" customHeight="1">
      <c r="E282" s="748" t="s">
        <v>952</v>
      </c>
      <c r="H282" s="748" t="str">
        <f>'Part II-Development Team'!H78</f>
        <v>Atlanta</v>
      </c>
      <c r="O282" s="748" t="s">
        <v>2833</v>
      </c>
      <c r="Q282" s="748">
        <f>'Part II-Development Team'!Q78</f>
        <v>7709842100</v>
      </c>
    </row>
    <row r="283" spans="1:17" ht="13.2" customHeight="1">
      <c r="E283" s="748" t="s">
        <v>2829</v>
      </c>
      <c r="H283" s="748" t="str">
        <f>'Part II-Development Team'!H79</f>
        <v>GA</v>
      </c>
      <c r="I283" s="748" t="s">
        <v>3352</v>
      </c>
      <c r="J283" s="748">
        <f>'Part II-Development Team'!J79</f>
        <v>303395704</v>
      </c>
      <c r="O283" s="748" t="s">
        <v>3054</v>
      </c>
      <c r="Q283" s="748">
        <f>'Part II-Development Team'!Q79</f>
        <v>4042340004</v>
      </c>
    </row>
    <row r="284" spans="1:17" ht="13.2" customHeight="1">
      <c r="E284" s="748" t="s">
        <v>3060</v>
      </c>
      <c r="H284" s="748">
        <f>'Part II-Development Team'!H80</f>
        <v>7709842100</v>
      </c>
      <c r="J284" s="748">
        <f>'Part II-Development Team'!J80</f>
        <v>107</v>
      </c>
      <c r="K284" s="748" t="s">
        <v>2832</v>
      </c>
      <c r="L284" s="748">
        <f>'Part II-Development Team'!L80</f>
        <v>7709801380</v>
      </c>
      <c r="N284" s="748" t="s">
        <v>3059</v>
      </c>
      <c r="O284" s="748" t="str">
        <f>'Part II-Development Team'!O80</f>
        <v>ppetersen@hallmarkco.com</v>
      </c>
    </row>
    <row r="285" spans="1:17" ht="13.2" customHeight="1"/>
    <row r="286" spans="1:17" ht="13.2" customHeight="1">
      <c r="A286" s="748" t="s">
        <v>1230</v>
      </c>
      <c r="B286" s="748" t="s">
        <v>378</v>
      </c>
    </row>
    <row r="287" spans="1:17" ht="9" customHeight="1"/>
    <row r="288" spans="1:17" ht="13.2" customHeight="1">
      <c r="B288" s="748" t="s">
        <v>3058</v>
      </c>
      <c r="C288" s="748" t="s">
        <v>379</v>
      </c>
      <c r="H288" s="748">
        <f>'Part II-Development Team'!H84</f>
        <v>0</v>
      </c>
      <c r="O288" s="748" t="s">
        <v>3065</v>
      </c>
      <c r="Q288" s="748">
        <f>'Part II-Development Team'!Q84</f>
        <v>0</v>
      </c>
    </row>
    <row r="289" spans="2:17" ht="13.2" customHeight="1">
      <c r="E289" s="748" t="s">
        <v>1640</v>
      </c>
      <c r="H289" s="748">
        <f>'Part II-Development Team'!H85</f>
        <v>0</v>
      </c>
      <c r="O289" s="748" t="s">
        <v>2774</v>
      </c>
      <c r="Q289" s="748">
        <f>'Part II-Development Team'!Q85</f>
        <v>0</v>
      </c>
    </row>
    <row r="290" spans="2:17" ht="13.2" customHeight="1">
      <c r="E290" s="748" t="s">
        <v>952</v>
      </c>
      <c r="H290" s="748">
        <f>'Part II-Development Team'!H86</f>
        <v>0</v>
      </c>
      <c r="O290" s="748" t="s">
        <v>2833</v>
      </c>
      <c r="Q290" s="748">
        <f>'Part II-Development Team'!Q86</f>
        <v>0</v>
      </c>
    </row>
    <row r="291" spans="2:17" ht="13.2" customHeight="1">
      <c r="E291" s="748" t="s">
        <v>2829</v>
      </c>
      <c r="H291" s="748">
        <f>'Part II-Development Team'!H87</f>
        <v>0</v>
      </c>
      <c r="I291" s="748" t="s">
        <v>3352</v>
      </c>
      <c r="J291" s="748">
        <f>'Part II-Development Team'!J87</f>
        <v>0</v>
      </c>
      <c r="O291" s="748" t="s">
        <v>3054</v>
      </c>
      <c r="Q291" s="748">
        <f>'Part II-Development Team'!Q87</f>
        <v>0</v>
      </c>
    </row>
    <row r="292" spans="2:17" ht="13.2"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2" customHeight="1">
      <c r="B294" s="748" t="s">
        <v>3061</v>
      </c>
      <c r="C294" s="748" t="s">
        <v>380</v>
      </c>
      <c r="H294" s="748" t="str">
        <f>'Part II-Development Team'!H90</f>
        <v>Taylor Commercial, Inc.</v>
      </c>
      <c r="O294" s="748" t="s">
        <v>3065</v>
      </c>
      <c r="Q294" s="748" t="str">
        <f>'Part II-Development Team'!Q90</f>
        <v>Ray Dotson</v>
      </c>
    </row>
    <row r="295" spans="2:17" ht="13.2" customHeight="1">
      <c r="E295" s="748" t="s">
        <v>1640</v>
      </c>
      <c r="H295" s="748" t="str">
        <f>'Part II-Development Team'!H91</f>
        <v>3955 Marconi Drive</v>
      </c>
      <c r="O295" s="748" t="s">
        <v>2774</v>
      </c>
      <c r="Q295" s="748" t="str">
        <f>'Part II-Development Team'!Q91</f>
        <v>Vice President</v>
      </c>
    </row>
    <row r="296" spans="2:17" ht="13.2" customHeight="1">
      <c r="E296" s="748" t="s">
        <v>952</v>
      </c>
      <c r="H296" s="748" t="str">
        <f>'Part II-Development Team'!H92</f>
        <v>Alpharetta</v>
      </c>
      <c r="O296" s="748" t="s">
        <v>2833</v>
      </c>
      <c r="Q296" s="748">
        <f>'Part II-Development Team'!Q92</f>
        <v>7705870157</v>
      </c>
    </row>
    <row r="297" spans="2:17" ht="13.2" customHeight="1">
      <c r="E297" s="748" t="s">
        <v>2829</v>
      </c>
      <c r="H297" s="748" t="str">
        <f>'Part II-Development Team'!H93</f>
        <v>GA</v>
      </c>
      <c r="I297" s="748" t="s">
        <v>3352</v>
      </c>
      <c r="J297" s="748">
        <f>'Part II-Development Team'!J93</f>
        <v>300055498</v>
      </c>
      <c r="O297" s="748" t="s">
        <v>3054</v>
      </c>
      <c r="Q297" s="748">
        <f>'Part II-Development Team'!Q93</f>
        <v>4043761063</v>
      </c>
    </row>
    <row r="298" spans="2:17" ht="13.2" customHeight="1">
      <c r="E298" s="748" t="s">
        <v>3060</v>
      </c>
      <c r="H298" s="748">
        <f>'Part II-Development Team'!H94</f>
        <v>7705870157</v>
      </c>
      <c r="J298" s="748">
        <f>'Part II-Development Team'!J94</f>
        <v>0</v>
      </c>
      <c r="K298" s="748" t="s">
        <v>2832</v>
      </c>
      <c r="L298" s="748">
        <f>'Part II-Development Team'!L94</f>
        <v>7706452519</v>
      </c>
      <c r="N298" s="748" t="s">
        <v>3059</v>
      </c>
      <c r="O298" s="748" t="str">
        <f>'Part II-Development Team'!O94</f>
        <v>ray@taylorcommercial.com</v>
      </c>
    </row>
    <row r="299" spans="2:17" ht="6.6" customHeight="1"/>
    <row r="300" spans="2:17" ht="13.2" customHeight="1">
      <c r="B300" s="748" t="s">
        <v>1237</v>
      </c>
      <c r="C300" s="748" t="s">
        <v>381</v>
      </c>
      <c r="H300" s="748" t="str">
        <f>'Part II-Development Team'!H96</f>
        <v>Hallmark Management, Inc.</v>
      </c>
      <c r="O300" s="748" t="s">
        <v>3065</v>
      </c>
      <c r="Q300" s="748" t="str">
        <f>'Part II-Development Team'!Q96</f>
        <v>Martin H. Petersen</v>
      </c>
    </row>
    <row r="301" spans="2:17" ht="13.2" customHeight="1">
      <c r="E301" s="748" t="s">
        <v>1640</v>
      </c>
      <c r="H301" s="748" t="str">
        <f>'Part II-Development Team'!H97</f>
        <v>3111 Paces Mill Rd.</v>
      </c>
      <c r="O301" s="748" t="s">
        <v>2774</v>
      </c>
      <c r="Q301" s="748" t="str">
        <f>'Part II-Development Team'!Q97</f>
        <v>President</v>
      </c>
    </row>
    <row r="302" spans="2:17" ht="13.2" customHeight="1">
      <c r="E302" s="748" t="s">
        <v>952</v>
      </c>
      <c r="H302" s="748" t="str">
        <f>'Part II-Development Team'!H98</f>
        <v>Atlanta</v>
      </c>
      <c r="O302" s="748" t="s">
        <v>2833</v>
      </c>
      <c r="Q302" s="748">
        <f>'Part II-Development Team'!Q98</f>
        <v>7709842100</v>
      </c>
    </row>
    <row r="303" spans="2:17" ht="13.2" customHeight="1">
      <c r="E303" s="748" t="s">
        <v>2829</v>
      </c>
      <c r="H303" s="748" t="str">
        <f>'Part II-Development Team'!H99</f>
        <v>GA</v>
      </c>
      <c r="I303" s="748" t="s">
        <v>3352</v>
      </c>
      <c r="J303" s="748">
        <f>'Part II-Development Team'!J99</f>
        <v>303395704</v>
      </c>
      <c r="O303" s="748" t="s">
        <v>3054</v>
      </c>
      <c r="Q303" s="748">
        <f>'Part II-Development Team'!Q99</f>
        <v>4042340004</v>
      </c>
    </row>
    <row r="304" spans="2:17" ht="13.2" customHeight="1">
      <c r="E304" s="748" t="s">
        <v>3060</v>
      </c>
      <c r="H304" s="748">
        <f>'Part II-Development Team'!H100</f>
        <v>7709842100</v>
      </c>
      <c r="J304" s="748">
        <f>'Part II-Development Team'!J100</f>
        <v>107</v>
      </c>
      <c r="K304" s="748" t="s">
        <v>2832</v>
      </c>
      <c r="L304" s="748">
        <f>'Part II-Development Team'!L100</f>
        <v>7709801380</v>
      </c>
      <c r="N304" s="748" t="s">
        <v>3059</v>
      </c>
      <c r="O304" s="748" t="str">
        <f>'Part II-Development Team'!O100</f>
        <v>ppetersen@hallmarkco.com</v>
      </c>
    </row>
    <row r="305" spans="2:17" ht="6.6" customHeight="1"/>
    <row r="306" spans="2:17" ht="13.2" customHeight="1">
      <c r="B306" s="748" t="s">
        <v>3210</v>
      </c>
      <c r="C306" s="748" t="s">
        <v>382</v>
      </c>
      <c r="H306" s="748" t="str">
        <f>'Part II-Development Team'!H102</f>
        <v>Arnall Golden &amp; Gregory</v>
      </c>
      <c r="O306" s="748" t="s">
        <v>3065</v>
      </c>
      <c r="Q306" s="748" t="str">
        <f>'Part II-Development Team'!Q102</f>
        <v>Jeff Adams</v>
      </c>
    </row>
    <row r="307" spans="2:17" ht="13.2" customHeight="1">
      <c r="E307" s="748" t="s">
        <v>1640</v>
      </c>
      <c r="H307" s="748" t="str">
        <f>'Part II-Development Team'!H103</f>
        <v>171 17th Street, Suite 2100</v>
      </c>
      <c r="O307" s="748" t="s">
        <v>2774</v>
      </c>
      <c r="Q307" s="748" t="str">
        <f>'Part II-Development Team'!Q103</f>
        <v>Partner</v>
      </c>
    </row>
    <row r="308" spans="2:17" ht="13.2" customHeight="1">
      <c r="E308" s="748" t="s">
        <v>952</v>
      </c>
      <c r="H308" s="748" t="str">
        <f>'Part II-Development Team'!H104</f>
        <v>Atlanta</v>
      </c>
      <c r="O308" s="748" t="s">
        <v>2833</v>
      </c>
      <c r="Q308" s="748">
        <f>'Part II-Development Team'!Q104</f>
        <v>7709842100</v>
      </c>
    </row>
    <row r="309" spans="2:17" ht="13.2" customHeight="1">
      <c r="E309" s="748" t="s">
        <v>2829</v>
      </c>
      <c r="H309" s="748" t="str">
        <f>'Part II-Development Team'!H105</f>
        <v>GA</v>
      </c>
      <c r="I309" s="748" t="s">
        <v>3352</v>
      </c>
      <c r="J309" s="748">
        <f>'Part II-Development Team'!J105</f>
        <v>303631031</v>
      </c>
      <c r="O309" s="748" t="s">
        <v>3054</v>
      </c>
      <c r="Q309" s="748">
        <f>'Part II-Development Team'!Q105</f>
        <v>4042340004</v>
      </c>
    </row>
    <row r="310" spans="2:17" ht="13.2" customHeight="1">
      <c r="E310" s="748" t="s">
        <v>3060</v>
      </c>
      <c r="H310" s="748">
        <f>'Part II-Development Team'!H106</f>
        <v>4048737014</v>
      </c>
      <c r="J310" s="748">
        <f>'Part II-Development Team'!J106</f>
        <v>0</v>
      </c>
      <c r="K310" s="748" t="s">
        <v>2832</v>
      </c>
      <c r="L310" s="748">
        <f>'Part II-Development Team'!L106</f>
        <v>4048737015</v>
      </c>
      <c r="N310" s="748" t="s">
        <v>3059</v>
      </c>
      <c r="O310" s="748" t="str">
        <f>'Part II-Development Team'!O106</f>
        <v>Jadams@agg.com</v>
      </c>
    </row>
    <row r="311" spans="2:17" ht="6" customHeight="1"/>
    <row r="312" spans="2:17" ht="0.6" customHeight="1"/>
    <row r="313" spans="2:17" ht="13.2" customHeight="1">
      <c r="B313" s="748" t="s">
        <v>2761</v>
      </c>
      <c r="C313" s="748" t="s">
        <v>383</v>
      </c>
      <c r="H313" s="748" t="str">
        <f>'Part II-Development Team'!H109</f>
        <v>Reznick Group, Inc.</v>
      </c>
      <c r="O313" s="748" t="s">
        <v>3065</v>
      </c>
      <c r="Q313" s="748" t="str">
        <f>'Part II-Development Team'!Q109</f>
        <v>Timothy Kemper</v>
      </c>
    </row>
    <row r="314" spans="2:17" ht="13.2" customHeight="1">
      <c r="E314" s="748" t="s">
        <v>1640</v>
      </c>
      <c r="H314" s="748" t="str">
        <f>'Part II-Development Team'!H110</f>
        <v>2002 Summit Blvd., Suite 200</v>
      </c>
      <c r="O314" s="748" t="s">
        <v>2774</v>
      </c>
      <c r="Q314" s="748" t="str">
        <f>'Part II-Development Team'!Q110</f>
        <v>Principal</v>
      </c>
    </row>
    <row r="315" spans="2:17" ht="13.2" customHeight="1">
      <c r="E315" s="748" t="s">
        <v>952</v>
      </c>
      <c r="H315" s="748" t="str">
        <f>'Part II-Development Team'!H111</f>
        <v>Atlanta</v>
      </c>
      <c r="O315" s="748" t="s">
        <v>2833</v>
      </c>
      <c r="Q315" s="748">
        <f>'Part II-Development Team'!Q111</f>
        <v>4048479447</v>
      </c>
    </row>
    <row r="316" spans="2:17" ht="13.2" customHeight="1">
      <c r="E316" s="748" t="s">
        <v>2829</v>
      </c>
      <c r="H316" s="748" t="str">
        <f>'Part II-Development Team'!H112</f>
        <v>GA</v>
      </c>
      <c r="I316" s="748" t="s">
        <v>3352</v>
      </c>
      <c r="J316" s="748">
        <f>'Part II-Development Team'!J112</f>
        <v>303191497</v>
      </c>
      <c r="O316" s="748" t="s">
        <v>3054</v>
      </c>
      <c r="Q316" s="748">
        <f>'Part II-Development Team'!Q112</f>
        <v>6785760400</v>
      </c>
    </row>
    <row r="317" spans="2:17" ht="13.2" customHeight="1">
      <c r="E317" s="748" t="s">
        <v>3060</v>
      </c>
      <c r="H317" s="748">
        <f>'Part II-Development Team'!H113</f>
        <v>4048479447</v>
      </c>
      <c r="J317" s="748">
        <f>'Part II-Development Team'!J113</f>
        <v>236</v>
      </c>
      <c r="K317" s="748" t="s">
        <v>2832</v>
      </c>
      <c r="L317" s="748">
        <f>'Part II-Development Team'!L113</f>
        <v>4048479495</v>
      </c>
      <c r="N317" s="748" t="s">
        <v>3059</v>
      </c>
      <c r="O317" s="748" t="str">
        <f>'Part II-Development Team'!O113</f>
        <v>timothy.kemper@reznickgroup.com</v>
      </c>
    </row>
    <row r="318" spans="2:17" ht="6.6" customHeight="1"/>
    <row r="319" spans="2:17" ht="13.2" customHeight="1">
      <c r="B319" s="748" t="s">
        <v>2762</v>
      </c>
      <c r="C319" s="748" t="s">
        <v>384</v>
      </c>
      <c r="H319" s="748" t="str">
        <f>'Part II-Development Team'!H115</f>
        <v>IPG, Incorporated</v>
      </c>
      <c r="O319" s="748" t="s">
        <v>3065</v>
      </c>
      <c r="Q319" s="748" t="str">
        <f>'Part II-Development Team'!Q115</f>
        <v>Robert Byington</v>
      </c>
    </row>
    <row r="320" spans="2:17" ht="13.2" customHeight="1">
      <c r="E320" s="748" t="s">
        <v>1640</v>
      </c>
      <c r="H320" s="748" t="str">
        <f>'Part II-Development Team'!H116</f>
        <v>807 Northwood Park Drive</v>
      </c>
      <c r="O320" s="748" t="s">
        <v>2774</v>
      </c>
      <c r="Q320" s="748" t="str">
        <f>'Part II-Development Team'!Q116</f>
        <v>Project Manager</v>
      </c>
    </row>
    <row r="321" spans="1:18" ht="13.2" customHeight="1">
      <c r="E321" s="748" t="s">
        <v>952</v>
      </c>
      <c r="H321" s="748" t="str">
        <f>'Part II-Development Team'!H117</f>
        <v>Valdosta</v>
      </c>
      <c r="O321" s="748" t="s">
        <v>2833</v>
      </c>
      <c r="Q321" s="748">
        <f>'Part II-Development Team'!Q117</f>
        <v>2292423557</v>
      </c>
    </row>
    <row r="322" spans="1:18" ht="13.2" customHeight="1">
      <c r="E322" s="748" t="s">
        <v>2829</v>
      </c>
      <c r="H322" s="748" t="str">
        <f>'Part II-Development Team'!H118</f>
        <v>GA</v>
      </c>
      <c r="I322" s="748" t="s">
        <v>3352</v>
      </c>
      <c r="J322" s="748">
        <f>'Part II-Development Team'!J118</f>
        <v>316021393</v>
      </c>
      <c r="O322" s="748" t="s">
        <v>3054</v>
      </c>
      <c r="Q322" s="748">
        <f>'Part II-Development Team'!Q118</f>
        <v>2295061807</v>
      </c>
    </row>
    <row r="323" spans="1:18" ht="13.2" customHeight="1">
      <c r="E323" s="748" t="s">
        <v>3060</v>
      </c>
      <c r="H323" s="748">
        <f>'Part II-Development Team'!H119</f>
        <v>2292423557</v>
      </c>
      <c r="J323" s="748">
        <f>'Part II-Development Team'!J119</f>
        <v>0</v>
      </c>
      <c r="K323" s="748" t="s">
        <v>2832</v>
      </c>
      <c r="L323" s="748">
        <f>'Part II-Development Team'!L119</f>
        <v>2292424339</v>
      </c>
      <c r="N323" s="748" t="s">
        <v>3059</v>
      </c>
      <c r="O323" s="748" t="str">
        <f>'Part II-Development Team'!O119</f>
        <v>rbyington@ipgarchitects.com</v>
      </c>
    </row>
    <row r="324" spans="1:18" ht="13.2" customHeight="1"/>
    <row r="325" spans="1:18" ht="13.2" customHeight="1">
      <c r="A325" s="748" t="s">
        <v>2822</v>
      </c>
      <c r="B325" s="748" t="s">
        <v>365</v>
      </c>
    </row>
    <row r="326" spans="1:18" ht="6.6" customHeight="1"/>
    <row r="327" spans="1:18" ht="21.6" customHeight="1">
      <c r="A327" s="748" t="s">
        <v>975</v>
      </c>
      <c r="E327" s="748" t="s">
        <v>4065</v>
      </c>
      <c r="F327" s="748" t="s">
        <v>3599</v>
      </c>
      <c r="G327" s="748" t="s">
        <v>4066</v>
      </c>
      <c r="J327" s="748" t="s">
        <v>4067</v>
      </c>
      <c r="L327" s="748" t="s">
        <v>4068</v>
      </c>
      <c r="N327" s="748" t="s">
        <v>4069</v>
      </c>
      <c r="P327" s="748" t="s">
        <v>3600</v>
      </c>
      <c r="R327" s="748" t="s">
        <v>3601</v>
      </c>
    </row>
    <row r="328" spans="1:18" ht="21.6" customHeight="1"/>
    <row r="329" spans="1:18" ht="21.6" customHeight="1"/>
    <row r="330" spans="1:18" ht="21.6" customHeight="1"/>
    <row r="331" spans="1:18" ht="21.6" customHeight="1"/>
    <row r="332" spans="1:18" ht="13.95" customHeight="1">
      <c r="A332" s="748" t="s">
        <v>3533</v>
      </c>
      <c r="E332" s="748" t="str">
        <f>'Part II-Development Team'!E128</f>
        <v>No</v>
      </c>
      <c r="F332" s="748">
        <f>'Part II-Development Team'!F128</f>
        <v>0</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5"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5"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5" customHeight="1">
      <c r="A335" s="748" t="s">
        <v>3525</v>
      </c>
      <c r="E335" s="748" t="str">
        <f>'Part II-Development Team'!E131</f>
        <v>No</v>
      </c>
      <c r="F335" s="748">
        <f>'Part II-Development Team'!F131</f>
        <v>0</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0.99980000000000002</v>
      </c>
    </row>
    <row r="336" spans="1:18" ht="13.95" customHeight="1">
      <c r="A336" s="748" t="s">
        <v>3526</v>
      </c>
      <c r="E336" s="748" t="str">
        <f>'Part II-Development Team'!E132</f>
        <v>No</v>
      </c>
      <c r="F336" s="748">
        <f>'Part II-Development Team'!F132</f>
        <v>0</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1E-4</v>
      </c>
    </row>
    <row r="337" spans="1:18" ht="13.95"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5" customHeight="1">
      <c r="A338" s="748" t="s">
        <v>995</v>
      </c>
      <c r="E338" s="748" t="str">
        <f>'Part II-Development Team'!E134</f>
        <v>No</v>
      </c>
      <c r="F338" s="748">
        <f>'Part II-Development Team'!F134</f>
        <v>0</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5"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5"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5" customHeight="1">
      <c r="A342" s="748" t="s">
        <v>3531</v>
      </c>
      <c r="E342" s="748" t="str">
        <f>'Part II-Development Team'!E138</f>
        <v>No</v>
      </c>
      <c r="F342" s="748">
        <f>'Part II-Development Team'!F138</f>
        <v>0</v>
      </c>
      <c r="G342" s="748" t="str">
        <f>'Part II-Development Team'!G138</f>
        <v>No</v>
      </c>
      <c r="J342" s="748" t="str">
        <f>'Part II-Development Team'!J138</f>
        <v>Yes</v>
      </c>
      <c r="L342" s="748" t="str">
        <f>'Part II-Development Team'!L138</f>
        <v>No</v>
      </c>
      <c r="N342" s="748" t="str">
        <f>'Part II-Development Team'!N138</f>
        <v>No</v>
      </c>
      <c r="P342" s="748" t="str">
        <f>'Part II-Development Team'!P138</f>
        <v>For Profit</v>
      </c>
      <c r="R342" s="748">
        <f>'Part II-Development Team'!R138</f>
        <v>0</v>
      </c>
    </row>
    <row r="343" spans="1:18" ht="13.95" customHeight="1">
      <c r="A343" s="748" t="s">
        <v>2279</v>
      </c>
      <c r="E343" s="748" t="str">
        <f>'Part II-Development Team'!E139</f>
        <v>No</v>
      </c>
      <c r="F343" s="748">
        <f>'Part II-Development Team'!F139</f>
        <v>0</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5" customHeight="1">
      <c r="A344" s="748" t="s">
        <v>3532</v>
      </c>
      <c r="E344" s="748" t="str">
        <f>'Part II-Development Team'!E140</f>
        <v>No</v>
      </c>
      <c r="F344" s="748">
        <f>'Part II-Development Team'!F140</f>
        <v>0</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831</v>
      </c>
      <c r="R345" s="748">
        <f>SUM(R332:S344)</f>
        <v>1</v>
      </c>
    </row>
    <row r="346" spans="1:18" ht="12" customHeight="1"/>
    <row r="347" spans="1:18" ht="12" customHeight="1">
      <c r="A347" s="748" t="s">
        <v>2824</v>
      </c>
      <c r="C347" s="748" t="s">
        <v>878</v>
      </c>
      <c r="N347" s="748" t="s">
        <v>821</v>
      </c>
      <c r="O347" s="748" t="s">
        <v>89</v>
      </c>
    </row>
    <row r="348" spans="1:18" ht="3.6" customHeight="1"/>
    <row r="349" spans="1:18" ht="42.6" customHeight="1">
      <c r="A349" s="748" t="str">
        <f>'Part II-Development Team'!A145</f>
        <v>Members of Prestwick Development are also members of the GP entity</v>
      </c>
      <c r="N349" s="748">
        <f>'Part II-Development Team'!N145</f>
        <v>0</v>
      </c>
    </row>
    <row r="350" spans="1:18" ht="42.6" customHeight="1">
      <c r="A350" s="748" t="str">
        <f>'Part II-Development Team'!A146</f>
        <v>Martin H Petersen is a member of the GP entity and a shareholer in the management company. Mr. Petersen is also serving as the development consultant.</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2011-003 Pecan Point Apartments, Cochran, Bleckley County</v>
      </c>
    </row>
    <row r="356" spans="1:16">
      <c r="A356" s="748" t="s">
        <v>949</v>
      </c>
      <c r="B356" s="748" t="s">
        <v>3769</v>
      </c>
    </row>
    <row r="358" spans="1:16">
      <c r="B358" s="748" t="str">
        <f>'Part III A-Sources of Funds'!B5</f>
        <v>Yes</v>
      </c>
      <c r="C358" s="748" t="s">
        <v>3651</v>
      </c>
      <c r="E358" s="748">
        <f>'Part III A-Sources of Funds'!E5</f>
        <v>0</v>
      </c>
      <c r="F358" s="748" t="s">
        <v>1979</v>
      </c>
      <c r="J358" s="748">
        <f>'Part III A-Sources of Funds'!J5</f>
        <v>0</v>
      </c>
      <c r="M358" s="748">
        <f>'Part III A-Sources of Funds'!M5</f>
        <v>0</v>
      </c>
      <c r="N358" s="748" t="s">
        <v>844</v>
      </c>
    </row>
    <row r="359" spans="1:16">
      <c r="B359" s="748">
        <f>'Part III A-Sources of Funds'!B6</f>
        <v>0</v>
      </c>
      <c r="C359" s="748" t="s">
        <v>2834</v>
      </c>
      <c r="E359" s="748">
        <f>'Part III A-Sources of Funds'!E6</f>
        <v>0</v>
      </c>
      <c r="F359" s="748" t="s">
        <v>3310</v>
      </c>
      <c r="J359" s="748">
        <f>'Part III A-Sources of Funds'!J6</f>
        <v>0</v>
      </c>
      <c r="K359" s="748" t="s">
        <v>845</v>
      </c>
      <c r="M359" s="748">
        <f>'Part III A-Sources of Funds'!M6</f>
        <v>0</v>
      </c>
      <c r="N359" s="748" t="s">
        <v>843</v>
      </c>
    </row>
    <row r="360" spans="1:16">
      <c r="B360" s="748">
        <f>'Part III A-Sources of Funds'!B7</f>
        <v>0</v>
      </c>
      <c r="C360" s="748" t="s">
        <v>2835</v>
      </c>
      <c r="E360" s="748">
        <f>'Part III A-Sources of Funds'!E7</f>
        <v>0</v>
      </c>
      <c r="F360" s="748" t="s">
        <v>3309</v>
      </c>
      <c r="J360" s="748">
        <f>'Part III A-Sources of Funds'!J7</f>
        <v>0</v>
      </c>
      <c r="K360" s="748" t="s">
        <v>2289</v>
      </c>
      <c r="M360" s="748">
        <f>'Part III A-Sources of Funds'!M7</f>
        <v>0</v>
      </c>
      <c r="N360" s="748" t="s">
        <v>1980</v>
      </c>
      <c r="P360" s="748">
        <f>'Part III A-Sources of Funds'!P7</f>
        <v>0</v>
      </c>
    </row>
    <row r="361" spans="1:16">
      <c r="B361" s="748" t="str">
        <f>'Part III A-Sources of Funds'!B8</f>
        <v>Yes</v>
      </c>
      <c r="C361" s="748" t="s">
        <v>3913</v>
      </c>
      <c r="E361" s="748">
        <f>'Part III A-Sources of Funds'!E8</f>
        <v>0</v>
      </c>
      <c r="F361" s="748" t="s">
        <v>3914</v>
      </c>
      <c r="H361" s="748">
        <f>'Part III A-Sources of Funds'!H8</f>
        <v>0</v>
      </c>
      <c r="I361" s="748" t="s">
        <v>3652</v>
      </c>
      <c r="J361" s="748">
        <f>'Part III A-Sources of Funds'!J8</f>
        <v>0</v>
      </c>
      <c r="K361" s="748" t="s">
        <v>873</v>
      </c>
      <c r="M361" s="748">
        <f>'Part III A-Sources of Funds'!M8</f>
        <v>0</v>
      </c>
      <c r="N361" s="748" t="s">
        <v>3230</v>
      </c>
    </row>
    <row r="362" spans="1:16">
      <c r="B362" s="748" t="s">
        <v>310</v>
      </c>
    </row>
    <row r="364" spans="1:16">
      <c r="A364" s="748" t="s">
        <v>1228</v>
      </c>
      <c r="B364" s="748" t="s">
        <v>3493</v>
      </c>
    </row>
    <row r="366" spans="1:16">
      <c r="B366" s="748" t="s">
        <v>2925</v>
      </c>
      <c r="H366" s="748" t="s">
        <v>1996</v>
      </c>
      <c r="L366" s="748" t="s">
        <v>3066</v>
      </c>
      <c r="N366" s="748" t="s">
        <v>2256</v>
      </c>
      <c r="P366" s="748" t="s">
        <v>2535</v>
      </c>
    </row>
    <row r="367" spans="1:16">
      <c r="B367" s="748" t="s">
        <v>2346</v>
      </c>
      <c r="H367" s="748" t="str">
        <f>'Part III A-Sources of Funds'!H14</f>
        <v>USDA 515 Loan</v>
      </c>
      <c r="L367" s="748">
        <f>'Part III A-Sources of Funds'!L14</f>
        <v>1202959</v>
      </c>
      <c r="N367" s="748">
        <f>'Part III A-Sources of Funds'!N14</f>
        <v>0.01</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f>'Part III A-Sources of Funds'!H19</f>
        <v>0</v>
      </c>
      <c r="L372" s="748">
        <f>'Part III A-Sources of Funds'!L19</f>
        <v>0</v>
      </c>
    </row>
    <row r="373" spans="1:17">
      <c r="B373" s="748" t="s">
        <v>1383</v>
      </c>
      <c r="H373" s="748" t="str">
        <f>'Part III A-Sources of Funds'!H20</f>
        <v>Direct Tax Credits</v>
      </c>
      <c r="L373" s="748">
        <f>'Part III A-Sources of Funds'!L20</f>
        <v>3231395</v>
      </c>
    </row>
    <row r="374" spans="1:17">
      <c r="B374" s="748" t="s">
        <v>1384</v>
      </c>
      <c r="H374" s="748" t="str">
        <f>'Part III A-Sources of Funds'!H21</f>
        <v>Direct Tax Credits</v>
      </c>
      <c r="L374" s="748">
        <f>'Part III A-Sources of Funds'!L21</f>
        <v>1077347</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5511701</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5495075</v>
      </c>
    </row>
    <row r="380" spans="1:17">
      <c r="B380" s="748" t="s">
        <v>3259</v>
      </c>
      <c r="L380" s="748">
        <f>L378-L379</f>
        <v>16626</v>
      </c>
    </row>
    <row r="382" spans="1:17">
      <c r="A382" s="748" t="s">
        <v>1230</v>
      </c>
      <c r="B382" s="748" t="s">
        <v>1381</v>
      </c>
    </row>
    <row r="383" spans="1:17">
      <c r="J383" s="748" t="s">
        <v>3193</v>
      </c>
      <c r="K383" s="748" t="s">
        <v>1994</v>
      </c>
      <c r="L383" s="748" t="s">
        <v>1999</v>
      </c>
      <c r="M383" s="748" t="s">
        <v>40</v>
      </c>
      <c r="Q383" s="748" t="s">
        <v>3490</v>
      </c>
    </row>
    <row r="384" spans="1:17">
      <c r="B384" s="748" t="s">
        <v>2925</v>
      </c>
      <c r="E384" s="748" t="s">
        <v>1996</v>
      </c>
      <c r="H384" s="748" t="s">
        <v>718</v>
      </c>
      <c r="J384" s="748" t="s">
        <v>2842</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Loan</v>
      </c>
      <c r="H386" s="748">
        <f>'Part III A-Sources of Funds'!H33</f>
        <v>1202959</v>
      </c>
      <c r="J386" s="748">
        <f>'Part III A-Sources of Funds'!J33</f>
        <v>0.01</v>
      </c>
      <c r="K386" s="748">
        <f>'Part III A-Sources of Funds'!K33</f>
        <v>50</v>
      </c>
      <c r="L386" s="748">
        <f>'Part III A-Sources of Funds'!L33</f>
        <v>50</v>
      </c>
      <c r="M386" s="748">
        <f>'Part III A-Sources of Funds'!M33</f>
        <v>33614</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9.5630503642135721E-4</v>
      </c>
      <c r="E390" s="748" t="str">
        <f>'Part III A-Sources of Funds'!E37</f>
        <v>Prestwick Development</v>
      </c>
      <c r="H390" s="748">
        <f>'Part III A-Sources of Funds'!H37</f>
        <v>807</v>
      </c>
      <c r="J390" s="748">
        <f>'Part III A-Sources of Funds'!J37</f>
        <v>0</v>
      </c>
      <c r="K390" s="748">
        <f>'Part III A-Sources of Funds'!K37</f>
        <v>1</v>
      </c>
      <c r="L390" s="748">
        <f>'Part III A-Sources of Funds'!L37</f>
        <v>1</v>
      </c>
      <c r="M390" s="748">
        <f>'Part III A-Sources of Funds'!M37</f>
        <v>807</v>
      </c>
      <c r="O390" s="748" t="str">
        <f>'Part III A-Sources of Funds'!O37</f>
        <v>Cash Flow</v>
      </c>
      <c r="Q390" s="748">
        <f>'Part III A-Sources of Funds'!Q37</f>
        <v>0</v>
      </c>
    </row>
    <row r="391" spans="2:19">
      <c r="B391" s="748" t="s">
        <v>3331</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3863</v>
      </c>
    </row>
    <row r="393" spans="2:19">
      <c r="B393" s="748" t="s">
        <v>1383</v>
      </c>
      <c r="E393" s="748" t="str">
        <f>'Part III A-Sources of Funds'!E40</f>
        <v>Direct Tax Credits</v>
      </c>
      <c r="H393" s="748">
        <f>'Part III A-Sources of Funds'!H40</f>
        <v>4039244</v>
      </c>
      <c r="J393" s="748">
        <f>'Part IV-Uses of Funds'!$J$165*10*'Part IV-Uses of Funds'!$N$158</f>
        <v>4040051.25</v>
      </c>
      <c r="L393" s="748">
        <f>H393-J393</f>
        <v>-807.25</v>
      </c>
      <c r="M393" s="748" t="s">
        <v>2536</v>
      </c>
      <c r="S393" s="748">
        <f>H393/H403</f>
        <v>0.61296381895729912</v>
      </c>
    </row>
    <row r="394" spans="2:19">
      <c r="B394" s="748" t="s">
        <v>1384</v>
      </c>
      <c r="E394" s="748" t="str">
        <f>'Part III A-Sources of Funds'!E41</f>
        <v>Direct Tax Credits</v>
      </c>
      <c r="H394" s="748">
        <f>'Part III A-Sources of Funds'!H41</f>
        <v>1346684</v>
      </c>
      <c r="J394" s="748">
        <f>'Part IV-Uses of Funds'!$J$165*10*'Part IV-Uses of Funds'!$Q$158</f>
        <v>1346683.75</v>
      </c>
      <c r="L394" s="748">
        <f>H394-J394</f>
        <v>0.25</v>
      </c>
      <c r="S394" s="748">
        <f>H394/H403</f>
        <v>0.20436214488867011</v>
      </c>
    </row>
    <row r="395" spans="2:19">
      <c r="B395" s="748" t="s">
        <v>2119</v>
      </c>
      <c r="E395" s="748">
        <f>'Part III A-Sources of Funds'!E42</f>
        <v>0</v>
      </c>
      <c r="H395" s="748">
        <f>'Part III A-Sources of Funds'!H42</f>
        <v>0</v>
      </c>
      <c r="M395" s="748" t="s">
        <v>3020</v>
      </c>
      <c r="N395" s="748" t="s">
        <v>3021</v>
      </c>
      <c r="O395" s="748">
        <v>8</v>
      </c>
      <c r="P395" s="748">
        <v>9</v>
      </c>
      <c r="Q395" s="748">
        <v>10</v>
      </c>
      <c r="S395" s="748">
        <f>SUM(S393:S394)</f>
        <v>0.81732596384596923</v>
      </c>
    </row>
    <row r="396" spans="2:19">
      <c r="B396" s="748" t="s">
        <v>823</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6589694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6589694</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878</v>
      </c>
      <c r="K406" s="748" t="s">
        <v>2822</v>
      </c>
      <c r="L406" s="748" t="s">
        <v>89</v>
      </c>
    </row>
    <row r="408" spans="1:17">
      <c r="A408" s="748" t="str">
        <f>'Part III A-Sources of Funds'!A55</f>
        <v>The existing USDA 515 mortgage will be asumed by the new ownership entity. The above amount of $1,202,959 equals the principal balance on the loan that will be assumed by the new owner. The annual debt service is based on the original mortgage balance.</v>
      </c>
      <c r="K408" s="748">
        <f>'Part III A-Sources of Funds'!K55</f>
        <v>0</v>
      </c>
    </row>
    <row r="409" spans="1:17">
      <c r="A409" s="748" t="str">
        <f>'Part III A-Sources of Funds'!A56</f>
        <v>The existing USDA 515 Mortgage has a loan maturity date of March 30,2038</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2011-003 Pecan Point Apartments, Cochran, Bleckley County</v>
      </c>
    </row>
    <row r="415" spans="1:17" ht="10.95" customHeight="1"/>
    <row r="416" spans="1:17" ht="14.4"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744</v>
      </c>
      <c r="C419" s="748">
        <v>0</v>
      </c>
      <c r="D419" s="748" t="s">
        <v>745</v>
      </c>
    </row>
    <row r="420" spans="1:5">
      <c r="B420" s="748" t="s">
        <v>3750</v>
      </c>
      <c r="C420" s="748">
        <f>'Part III B-USDA 538 Loan'!C7</f>
        <v>0</v>
      </c>
      <c r="D420" s="748" t="s">
        <v>2658</v>
      </c>
    </row>
    <row r="421" spans="1:5" ht="13.2" customHeight="1">
      <c r="A421" s="748" t="s">
        <v>3738</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5" customHeight="1"/>
    <row r="427" spans="1:5" ht="12.6" customHeight="1">
      <c r="A427" s="748" t="s">
        <v>143</v>
      </c>
    </row>
    <row r="428" spans="1:5" ht="5.4" customHeight="1"/>
    <row r="429" spans="1:5" ht="13.2"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2011-003 Pecan Point Apartments, Cochran, Bleckley County</v>
      </c>
      <c r="G471" s="748" t="str">
        <f>CONCATENATE('Part I-Project Information'!$O$4," ",'Part I-Project Information'!$F$22,", ",'Part I-Project Information'!$F$24,", ",'Part I-Project Information'!$J$25," County")</f>
        <v>2011-003 Pecan Point Apartments, Cochran, Bleckley County</v>
      </c>
    </row>
    <row r="472" spans="1:12">
      <c r="A472" s="748" t="s">
        <v>3742</v>
      </c>
      <c r="G472" s="748" t="s">
        <v>3742</v>
      </c>
    </row>
    <row r="473" spans="1:12" ht="6" customHeight="1"/>
    <row r="474" spans="1:12">
      <c r="A474" s="748" t="s">
        <v>3743</v>
      </c>
      <c r="B474" s="748" t="s">
        <v>3744</v>
      </c>
      <c r="C474" s="748" t="s">
        <v>1993</v>
      </c>
      <c r="D474" s="748" t="s">
        <v>3745</v>
      </c>
      <c r="E474" s="748" t="s">
        <v>3746</v>
      </c>
      <c r="F474" s="748" t="s">
        <v>3752</v>
      </c>
      <c r="G474" s="748" t="s">
        <v>3743</v>
      </c>
      <c r="H474" s="748" t="s">
        <v>3744</v>
      </c>
      <c r="I474" s="748" t="s">
        <v>1993</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2011-003 Pecan Point Apartments, Cochran, Bleckley County</v>
      </c>
    </row>
    <row r="961" spans="1:5" ht="15.6" customHeight="1">
      <c r="A961" s="748" t="s">
        <v>278</v>
      </c>
    </row>
    <row r="963" spans="1:5" ht="13.2" customHeight="1">
      <c r="A963" s="748" t="s">
        <v>3384</v>
      </c>
      <c r="D963" s="748">
        <f>'Part III C-HUD Insured Loan'!D5</f>
        <v>0</v>
      </c>
      <c r="E963" s="748" t="s">
        <v>1551</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2740</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3383</v>
      </c>
      <c r="F984" s="748" t="s">
        <v>3383</v>
      </c>
    </row>
    <row r="985" spans="1:6">
      <c r="A985" s="748" t="s">
        <v>3752</v>
      </c>
      <c r="B985" s="748" t="s">
        <v>1645</v>
      </c>
      <c r="D985" s="748" t="s">
        <v>3752</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2011-003 Pecan Point Apartments, Cochran, Bleckley County</v>
      </c>
    </row>
    <row r="1009" spans="1:6">
      <c r="A1009" s="748" t="s">
        <v>3742</v>
      </c>
    </row>
    <row r="1010" spans="1:6" ht="5.4" customHeight="1"/>
    <row r="1011" spans="1:6">
      <c r="A1011" s="748" t="s">
        <v>3743</v>
      </c>
      <c r="B1011" s="748" t="s">
        <v>3744</v>
      </c>
      <c r="C1011" s="748" t="s">
        <v>1993</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2011-003 Pecan Point Apartments, ,  County</v>
      </c>
    </row>
    <row r="1498" spans="1:19" ht="4.95" customHeight="1"/>
    <row r="1499" spans="1:19" ht="15" customHeight="1">
      <c r="A1499" s="748" t="s">
        <v>358</v>
      </c>
    </row>
    <row r="1500" spans="1:19" ht="1.95"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2" customHeight="1">
      <c r="B1503" s="748" t="s">
        <v>116</v>
      </c>
      <c r="O1503" s="748" t="str">
        <f>B1503</f>
        <v>PRE-DEVELOPMENT COSTS</v>
      </c>
    </row>
    <row r="1504" spans="1:19" ht="12.6" customHeight="1">
      <c r="B1504" s="748" t="s">
        <v>3077</v>
      </c>
      <c r="G1504" s="748">
        <f>'Part IV-Uses of Funds'!G8</f>
        <v>5000</v>
      </c>
      <c r="J1504" s="748">
        <f>'Part IV-Uses of Funds'!J8</f>
        <v>0</v>
      </c>
      <c r="M1504" s="748">
        <f>'Part IV-Uses of Funds'!M8</f>
        <v>0</v>
      </c>
      <c r="P1504" s="748">
        <f>'Part IV-Uses of Funds'!P8</f>
        <v>5000</v>
      </c>
      <c r="S1504" s="748">
        <f>'Part IV-Uses of Funds'!S8</f>
        <v>0</v>
      </c>
    </row>
    <row r="1505" spans="1:21" ht="12.6" customHeight="1">
      <c r="B1505" s="748" t="s">
        <v>671</v>
      </c>
      <c r="G1505" s="748">
        <f>'Part IV-Uses of Funds'!G9</f>
        <v>9500</v>
      </c>
      <c r="J1505" s="748">
        <f>'Part IV-Uses of Funds'!J9</f>
        <v>0</v>
      </c>
      <c r="M1505" s="748">
        <f>'Part IV-Uses of Funds'!M9</f>
        <v>0</v>
      </c>
      <c r="P1505" s="748">
        <f>'Part IV-Uses of Funds'!P9</f>
        <v>9500</v>
      </c>
      <c r="S1505" s="748">
        <f>'Part IV-Uses of Funds'!S9</f>
        <v>0</v>
      </c>
    </row>
    <row r="1506" spans="1:21" ht="12.6" customHeight="1">
      <c r="B1506" s="748" t="s">
        <v>716</v>
      </c>
      <c r="G1506" s="748">
        <f>'Part IV-Uses of Funds'!G10</f>
        <v>14000</v>
      </c>
      <c r="J1506" s="748">
        <f>'Part IV-Uses of Funds'!J10</f>
        <v>0</v>
      </c>
      <c r="M1506" s="748">
        <f>'Part IV-Uses of Funds'!M10</f>
        <v>0</v>
      </c>
      <c r="P1506" s="748">
        <f>'Part IV-Uses of Funds'!P10</f>
        <v>14000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3778</v>
      </c>
      <c r="G1508" s="748">
        <f>'Part IV-Uses of Funds'!G12</f>
        <v>10000</v>
      </c>
      <c r="J1508" s="748">
        <f>'Part IV-Uses of Funds'!J12</f>
        <v>0</v>
      </c>
      <c r="M1508" s="748">
        <f>'Part IV-Uses of Funds'!M12</f>
        <v>0</v>
      </c>
      <c r="P1508" s="748">
        <f>'Part IV-Uses of Funds'!P12</f>
        <v>10000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Physical Needs Assessment</v>
      </c>
      <c r="G1510" s="748">
        <f>'Part IV-Uses of Funds'!G14</f>
        <v>8000</v>
      </c>
      <c r="J1510" s="748">
        <f>'Part IV-Uses of Funds'!J14</f>
        <v>0</v>
      </c>
      <c r="M1510" s="748">
        <f>'Part IV-Uses of Funds'!M14</f>
        <v>0</v>
      </c>
      <c r="P1510" s="748">
        <f>'Part IV-Uses of Funds'!P14</f>
        <v>8000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f>'Part IV-Uses of Funds'!C15</f>
        <v>0</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f>'Part IV-Uses of Funds'!C16</f>
        <v>0</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46500</v>
      </c>
      <c r="J1513" s="748">
        <f>SUM(J1504:K1512)</f>
        <v>0</v>
      </c>
      <c r="M1513" s="748">
        <f>SUM(M1504:N1512)</f>
        <v>0</v>
      </c>
      <c r="P1513" s="748">
        <f>SUM(P1504:Q1512)</f>
        <v>46500</v>
      </c>
      <c r="S1513" s="748">
        <f>SUM(S1504:T1512)</f>
        <v>0</v>
      </c>
    </row>
    <row r="1514" spans="1:21" ht="13.2" customHeight="1">
      <c r="B1514" s="748" t="s">
        <v>3304</v>
      </c>
      <c r="O1514" s="748" t="str">
        <f>B1514</f>
        <v>ACQUISITION</v>
      </c>
    </row>
    <row r="1515" spans="1:21" ht="12.6" customHeight="1">
      <c r="B1515" s="748" t="s">
        <v>3305</v>
      </c>
      <c r="G1515" s="748">
        <f>'Part IV-Uses of Funds'!G19</f>
        <v>120000</v>
      </c>
      <c r="S1515" s="748">
        <f>'Part IV-Uses of Funds'!S19</f>
        <v>120000</v>
      </c>
    </row>
    <row r="1516" spans="1:21" ht="12.6" customHeight="1">
      <c r="B1516" s="748" t="s">
        <v>1749</v>
      </c>
      <c r="G1516" s="748">
        <f>'Part IV-Uses of Funds'!G20</f>
        <v>0</v>
      </c>
      <c r="S1516" s="748">
        <f>'Part IV-Uses of Funds'!S20</f>
        <v>0</v>
      </c>
    </row>
    <row r="1517" spans="1:21" ht="12.6" customHeight="1">
      <c r="B1517" s="748" t="s">
        <v>672</v>
      </c>
      <c r="G1517" s="748">
        <f>'Part IV-Uses of Funds'!G21</f>
        <v>10000</v>
      </c>
      <c r="M1517" s="748">
        <f>'Part IV-Uses of Funds'!M21</f>
        <v>10000</v>
      </c>
      <c r="S1517" s="748">
        <f>'Part IV-Uses of Funds'!S21</f>
        <v>0</v>
      </c>
    </row>
    <row r="1518" spans="1:21" ht="12.6" customHeight="1">
      <c r="B1518" s="748" t="s">
        <v>637</v>
      </c>
      <c r="G1518" s="748">
        <f>'Part IV-Uses of Funds'!G22</f>
        <v>1382959</v>
      </c>
      <c r="M1518" s="748">
        <f>'Part IV-Uses of Funds'!M22</f>
        <v>1382959</v>
      </c>
      <c r="S1518" s="748">
        <f>'Part IV-Uses of Funds'!S22</f>
        <v>0</v>
      </c>
    </row>
    <row r="1519" spans="1:21" ht="12.6" customHeight="1">
      <c r="F1519" s="748" t="s">
        <v>249</v>
      </c>
      <c r="G1519" s="748">
        <f>SUM(G1515:H1518)</f>
        <v>1512959</v>
      </c>
      <c r="M1519" s="748">
        <f>SUM(M1517:N1518)</f>
        <v>1392959</v>
      </c>
      <c r="S1519" s="748">
        <f>SUM(S1515:T1518)</f>
        <v>120000</v>
      </c>
    </row>
    <row r="1520" spans="1:21" ht="13.2" customHeight="1">
      <c r="B1520" s="748" t="s">
        <v>1750</v>
      </c>
      <c r="O1520" s="748" t="str">
        <f>B1520</f>
        <v>LAND IMPROVEMENTS</v>
      </c>
    </row>
    <row r="1521" spans="2:19" ht="12.6" customHeight="1">
      <c r="B1521" s="748" t="s">
        <v>1751</v>
      </c>
      <c r="G1521" s="748">
        <f>'Part IV-Uses of Funds'!G25</f>
        <v>98456</v>
      </c>
      <c r="J1521" s="748">
        <f>'Part IV-Uses of Funds'!J25</f>
        <v>0</v>
      </c>
      <c r="M1521" s="748">
        <f>'Part IV-Uses of Funds'!M25</f>
        <v>0</v>
      </c>
      <c r="P1521" s="748">
        <f>'Part IV-Uses of Funds'!P25</f>
        <v>98456</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98456</v>
      </c>
      <c r="J1523" s="748">
        <f>SUM(J1521:K1522)</f>
        <v>0</v>
      </c>
      <c r="M1523" s="748">
        <f>M1521</f>
        <v>0</v>
      </c>
      <c r="P1523" s="748">
        <f>P1521</f>
        <v>98456</v>
      </c>
      <c r="S1523" s="748">
        <f>SUM(S1521:T1522)</f>
        <v>0</v>
      </c>
    </row>
    <row r="1524" spans="2:19" ht="13.2"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2569446</v>
      </c>
      <c r="J1526" s="748">
        <f>'Part IV-Uses of Funds'!J30</f>
        <v>0</v>
      </c>
      <c r="M1526" s="748">
        <f>'Part IV-Uses of Funds'!M30</f>
        <v>0</v>
      </c>
      <c r="P1526" s="748">
        <f>'Part IV-Uses of Funds'!P30</f>
        <v>2569446</v>
      </c>
      <c r="S1526" s="748">
        <f>'Part IV-Uses of Funds'!S30</f>
        <v>0</v>
      </c>
    </row>
    <row r="1527" spans="2:19" ht="12.6" customHeight="1">
      <c r="B1527" s="748" t="s">
        <v>1756</v>
      </c>
      <c r="G1527" s="748">
        <f>'Part IV-Uses of Funds'!G31</f>
        <v>89482</v>
      </c>
      <c r="J1527" s="748">
        <f>'Part IV-Uses of Funds'!J31</f>
        <v>0</v>
      </c>
      <c r="M1527" s="748">
        <f>'Part IV-Uses of Funds'!M31</f>
        <v>0</v>
      </c>
      <c r="P1527" s="748">
        <f>'Part IV-Uses of Funds'!P31</f>
        <v>89482</v>
      </c>
      <c r="S1527" s="748">
        <f>'Part IV-Uses of Funds'!S31</f>
        <v>0</v>
      </c>
    </row>
    <row r="1528" spans="2:19" ht="12.6" customHeight="1">
      <c r="F1528" s="748" t="s">
        <v>249</v>
      </c>
      <c r="G1528" s="748">
        <f>SUM(G1525:H1527)</f>
        <v>2658928</v>
      </c>
      <c r="J1528" s="748">
        <f>SUM(J1525:K1527)</f>
        <v>0</v>
      </c>
      <c r="M1528" s="748">
        <f>SUM(M1525:N1527)</f>
        <v>0</v>
      </c>
      <c r="P1528" s="748">
        <f>SUM(P1525:Q1527)</f>
        <v>2658928</v>
      </c>
      <c r="S1528" s="748">
        <f>SUM(S1525:T1527)</f>
        <v>0</v>
      </c>
    </row>
    <row r="1529" spans="2:19" ht="13.2"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165443</v>
      </c>
      <c r="J1530" s="748">
        <f>'Part IV-Uses of Funds'!J34</f>
        <v>0</v>
      </c>
      <c r="M1530" s="748">
        <f>'Part IV-Uses of Funds'!M34</f>
        <v>0</v>
      </c>
      <c r="P1530" s="748">
        <f>'Part IV-Uses of Funds'!P34</f>
        <v>165443</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220591</v>
      </c>
      <c r="J1531" s="748">
        <f>'Part IV-Uses of Funds'!J35</f>
        <v>0</v>
      </c>
      <c r="M1531" s="748">
        <f>'Part IV-Uses of Funds'!M35</f>
        <v>0</v>
      </c>
      <c r="P1531" s="748">
        <f>'Part IV-Uses of Funds'!P35</f>
        <v>220591</v>
      </c>
      <c r="S1531" s="748">
        <f>'Part IV-Uses of Funds'!S35</f>
        <v>0</v>
      </c>
    </row>
    <row r="1532" spans="2:19" ht="12.6" customHeight="1">
      <c r="B1532" s="748" t="s">
        <v>3129</v>
      </c>
      <c r="F1532" s="748" t="s">
        <v>249</v>
      </c>
      <c r="G1532" s="748">
        <f>SUM(G1530:H1531)</f>
        <v>386034</v>
      </c>
      <c r="J1532" s="748">
        <f>SUM(J1530:K1531)</f>
        <v>0</v>
      </c>
      <c r="M1532" s="748">
        <f>SUM(M1530:N1531)</f>
        <v>0</v>
      </c>
      <c r="P1532" s="748">
        <f>SUM(P1530:Q1531)</f>
        <v>386034</v>
      </c>
      <c r="S1532" s="748">
        <f>SUM(S1530:T1531)</f>
        <v>0</v>
      </c>
    </row>
    <row r="1533" spans="2:19" ht="6" customHeight="1"/>
    <row r="1534" spans="2:19" ht="12.6" customHeight="1">
      <c r="B1534" s="748" t="s">
        <v>1759</v>
      </c>
      <c r="D1534" s="748">
        <f>B1535/'Part VI-Revenues &amp; Expenses'!$M$63</f>
        <v>64151.387755102041</v>
      </c>
      <c r="F1534" s="748" t="s">
        <v>2109</v>
      </c>
    </row>
    <row r="1535" spans="2:19" ht="12.6" customHeight="1">
      <c r="B1535" s="748">
        <f>G1523+G1528+G1532</f>
        <v>3143418</v>
      </c>
      <c r="D1535" s="748">
        <f>B1535/'Part VI-Revenues &amp; Expenses'!$M$98</f>
        <v>78.610998574536723</v>
      </c>
      <c r="F1535" s="748" t="s">
        <v>1336</v>
      </c>
    </row>
    <row r="1536" spans="2:19" ht="6" customHeight="1"/>
    <row r="1537" spans="1:21" ht="13.2" customHeight="1">
      <c r="B1537" s="748" t="s">
        <v>1757</v>
      </c>
      <c r="O1537" s="748" t="str">
        <f>B1537</f>
        <v>CONSTRUCTION CONTINGENCY</v>
      </c>
    </row>
    <row r="1538" spans="1:21" ht="12.6" customHeight="1">
      <c r="B1538" s="748" t="s">
        <v>3036</v>
      </c>
      <c r="F1538" s="748" t="e">
        <f>G1538/$B$39</f>
        <v>#DIV/0!</v>
      </c>
      <c r="G1538" s="748">
        <f>'Part IV-Uses of Funds'!G42</f>
        <v>220039</v>
      </c>
      <c r="J1538" s="748">
        <f>'Part IV-Uses of Funds'!J42</f>
        <v>0</v>
      </c>
      <c r="M1538" s="748">
        <f>'Part IV-Uses of Funds'!M42</f>
        <v>0</v>
      </c>
      <c r="P1538" s="748">
        <f>'Part IV-Uses of Funds'!P42</f>
        <v>220039</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2" customHeight="1">
      <c r="B1543" s="748" t="s">
        <v>1090</v>
      </c>
      <c r="O1543" s="748" t="str">
        <f>B1543</f>
        <v>CONSTRUCTION PERIOD FINANCING</v>
      </c>
    </row>
    <row r="1544" spans="1:21" ht="13.2" customHeight="1">
      <c r="B1544" s="748" t="s">
        <v>3494</v>
      </c>
      <c r="G1544" s="748">
        <f>'Part IV-Uses of Funds'!G48</f>
        <v>0</v>
      </c>
      <c r="J1544" s="748">
        <f>'Part IV-Uses of Funds'!J48</f>
        <v>0</v>
      </c>
      <c r="M1544" s="748">
        <f>'Part IV-Uses of Funds'!M48</f>
        <v>0</v>
      </c>
      <c r="P1544" s="748">
        <f>'Part IV-Uses of Funds'!P48</f>
        <v>0</v>
      </c>
      <c r="S1544" s="748">
        <f>'Part IV-Uses of Funds'!S48</f>
        <v>0</v>
      </c>
    </row>
    <row r="1545" spans="1:21" ht="13.2" customHeight="1">
      <c r="B1545" s="748" t="s">
        <v>3495</v>
      </c>
      <c r="G1545" s="748">
        <f>'Part IV-Uses of Funds'!G49</f>
        <v>30000</v>
      </c>
      <c r="J1545" s="748">
        <f>'Part IV-Uses of Funds'!J49</f>
        <v>0</v>
      </c>
      <c r="M1545" s="748">
        <f>'Part IV-Uses of Funds'!M49</f>
        <v>0</v>
      </c>
      <c r="P1545" s="748">
        <f>'Part IV-Uses of Funds'!P49</f>
        <v>30000</v>
      </c>
      <c r="S1545" s="748">
        <f>'Part IV-Uses of Funds'!S49</f>
        <v>0</v>
      </c>
    </row>
    <row r="1546" spans="1:21" ht="13.2" customHeight="1">
      <c r="B1546" s="748" t="s">
        <v>3496</v>
      </c>
      <c r="G1546" s="748">
        <f>'Part IV-Uses of Funds'!G50</f>
        <v>0</v>
      </c>
      <c r="J1546" s="748">
        <f>'Part IV-Uses of Funds'!J50</f>
        <v>0</v>
      </c>
      <c r="M1546" s="748">
        <f>'Part IV-Uses of Funds'!M50</f>
        <v>0</v>
      </c>
      <c r="P1546" s="748">
        <f>'Part IV-Uses of Funds'!P50</f>
        <v>0</v>
      </c>
      <c r="S1546" s="748">
        <f>'Part IV-Uses of Funds'!S50</f>
        <v>0</v>
      </c>
    </row>
    <row r="1547" spans="1:21" ht="13.2" customHeight="1">
      <c r="B1547" s="748" t="s">
        <v>1091</v>
      </c>
      <c r="G1547" s="748">
        <f>'Part IV-Uses of Funds'!G51</f>
        <v>15542</v>
      </c>
      <c r="J1547" s="748">
        <f>'Part IV-Uses of Funds'!J51</f>
        <v>0</v>
      </c>
      <c r="M1547" s="748">
        <f>'Part IV-Uses of Funds'!M51</f>
        <v>0</v>
      </c>
      <c r="P1547" s="748">
        <f>'Part IV-Uses of Funds'!P51</f>
        <v>7771</v>
      </c>
      <c r="S1547" s="748">
        <f>'Part IV-Uses of Funds'!S51</f>
        <v>7771</v>
      </c>
    </row>
    <row r="1548" spans="1:21" ht="13.2" customHeight="1">
      <c r="B1548" s="748" t="s">
        <v>3497</v>
      </c>
      <c r="G1548" s="748">
        <f>'Part IV-Uses of Funds'!G52</f>
        <v>25000</v>
      </c>
      <c r="J1548" s="748">
        <f>'Part IV-Uses of Funds'!J52</f>
        <v>0</v>
      </c>
      <c r="M1548" s="748">
        <f>'Part IV-Uses of Funds'!M52</f>
        <v>0</v>
      </c>
      <c r="P1548" s="748">
        <f>'Part IV-Uses of Funds'!P52</f>
        <v>25000</v>
      </c>
      <c r="S1548" s="748">
        <f>'Part IV-Uses of Funds'!S52</f>
        <v>0</v>
      </c>
    </row>
    <row r="1549" spans="1:21" ht="13.2"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31434</v>
      </c>
      <c r="J1550" s="748">
        <f>'Part IV-Uses of Funds'!J54</f>
        <v>0</v>
      </c>
      <c r="M1550" s="748">
        <f>'Part IV-Uses of Funds'!M54</f>
        <v>0</v>
      </c>
      <c r="P1550" s="748">
        <f>'Part IV-Uses of Funds'!P54</f>
        <v>31434</v>
      </c>
      <c r="S1550" s="748">
        <f>'Part IV-Uses of Funds'!S54</f>
        <v>0</v>
      </c>
    </row>
    <row r="1551" spans="1:21" ht="13.2" customHeight="1">
      <c r="A1551" s="748" t="str">
        <f>IF(AND(G1551&gt;0,OR(C1551="",C1551="&lt;Enter detailed description here; use Comments section if needed&gt;")),"X","")</f>
        <v/>
      </c>
      <c r="B1551" s="748" t="s">
        <v>1229</v>
      </c>
      <c r="C1551" s="748">
        <f>'Part IV-Uses of Funds'!C55</f>
        <v>0</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249</v>
      </c>
      <c r="G1552" s="748">
        <f>SUM(G1544:H1551)</f>
        <v>101976</v>
      </c>
      <c r="J1552" s="748">
        <f>SUM(J1544:K1551)</f>
        <v>0</v>
      </c>
      <c r="M1552" s="748">
        <f>SUM(M1544:N1551)</f>
        <v>0</v>
      </c>
      <c r="P1552" s="748">
        <f>SUM(P1544:Q1551)</f>
        <v>94205</v>
      </c>
      <c r="S1552" s="748">
        <f>SUM(S1544:T1551)</f>
        <v>7771</v>
      </c>
    </row>
    <row r="1553" spans="1:21" ht="13.2" customHeight="1">
      <c r="B1553" s="748" t="s">
        <v>704</v>
      </c>
      <c r="O1553" s="748" t="str">
        <f>B1553</f>
        <v>PROFESSIONAL SERVICES</v>
      </c>
    </row>
    <row r="1554" spans="1:21" ht="13.2" customHeight="1">
      <c r="B1554" s="748" t="s">
        <v>705</v>
      </c>
      <c r="G1554" s="748">
        <f>'Part IV-Uses of Funds'!G58</f>
        <v>92800</v>
      </c>
      <c r="J1554" s="748">
        <f>'Part IV-Uses of Funds'!J58</f>
        <v>0</v>
      </c>
      <c r="M1554" s="748">
        <f>'Part IV-Uses of Funds'!M58</f>
        <v>0</v>
      </c>
      <c r="P1554" s="748">
        <f>'Part IV-Uses of Funds'!P58</f>
        <v>92800</v>
      </c>
      <c r="S1554" s="748">
        <f>'Part IV-Uses of Funds'!S58</f>
        <v>0</v>
      </c>
    </row>
    <row r="1555" spans="1:21" ht="13.2" customHeight="1">
      <c r="B1555" s="748" t="s">
        <v>706</v>
      </c>
      <c r="G1555" s="748">
        <f>'Part IV-Uses of Funds'!G59</f>
        <v>23200</v>
      </c>
      <c r="J1555" s="748">
        <f>'Part IV-Uses of Funds'!J59</f>
        <v>0</v>
      </c>
      <c r="M1555" s="748">
        <f>'Part IV-Uses of Funds'!M59</f>
        <v>0</v>
      </c>
      <c r="P1555" s="748">
        <f>'Part IV-Uses of Funds'!P59</f>
        <v>23200</v>
      </c>
      <c r="S1555" s="748">
        <f>'Part IV-Uses of Funds'!S59</f>
        <v>0</v>
      </c>
    </row>
    <row r="1556" spans="1:21" ht="13.2" customHeight="1">
      <c r="B1556" s="748" t="s">
        <v>1760</v>
      </c>
      <c r="G1556" s="748">
        <f>'Part IV-Uses of Funds'!G60</f>
        <v>20000</v>
      </c>
      <c r="J1556" s="748">
        <f>'Part IV-Uses of Funds'!J60</f>
        <v>0</v>
      </c>
      <c r="M1556" s="748">
        <f>'Part IV-Uses of Funds'!M60</f>
        <v>0</v>
      </c>
      <c r="P1556" s="748">
        <f>'Part IV-Uses of Funds'!P60</f>
        <v>20000</v>
      </c>
      <c r="S1556" s="748">
        <f>'Part IV-Uses of Funds'!S60</f>
        <v>0</v>
      </c>
    </row>
    <row r="1557" spans="1:21" ht="13.2" customHeight="1">
      <c r="B1557" s="748" t="s">
        <v>1761</v>
      </c>
      <c r="G1557" s="748">
        <f>'Part IV-Uses of Funds'!G61</f>
        <v>10000</v>
      </c>
      <c r="J1557" s="748">
        <f>'Part IV-Uses of Funds'!J61</f>
        <v>0</v>
      </c>
      <c r="M1557" s="748">
        <f>'Part IV-Uses of Funds'!M61</f>
        <v>0</v>
      </c>
      <c r="P1557" s="748">
        <f>'Part IV-Uses of Funds'!P61</f>
        <v>10000</v>
      </c>
      <c r="S1557" s="748">
        <f>'Part IV-Uses of Funds'!S61</f>
        <v>0</v>
      </c>
    </row>
    <row r="1558" spans="1:21" ht="13.2" customHeight="1">
      <c r="B1558" s="748" t="s">
        <v>1762</v>
      </c>
      <c r="G1558" s="748">
        <f>'Part IV-Uses of Funds'!G62</f>
        <v>6000</v>
      </c>
      <c r="J1558" s="748">
        <f>'Part IV-Uses of Funds'!J62</f>
        <v>0</v>
      </c>
      <c r="M1558" s="748">
        <f>'Part IV-Uses of Funds'!M62</f>
        <v>0</v>
      </c>
      <c r="P1558" s="748">
        <f>'Part IV-Uses of Funds'!P62</f>
        <v>6000</v>
      </c>
      <c r="S1558" s="748">
        <f>'Part IV-Uses of Funds'!S62</f>
        <v>0</v>
      </c>
    </row>
    <row r="1559" spans="1:21" ht="13.2" customHeight="1">
      <c r="B1559" s="748" t="s">
        <v>1763</v>
      </c>
      <c r="G1559" s="748">
        <f>'Part IV-Uses of Funds'!G63</f>
        <v>0</v>
      </c>
      <c r="J1559" s="748">
        <f>'Part IV-Uses of Funds'!J63</f>
        <v>0</v>
      </c>
      <c r="M1559" s="748">
        <f>'Part IV-Uses of Funds'!M63</f>
        <v>0</v>
      </c>
      <c r="P1559" s="748">
        <f>'Part IV-Uses of Funds'!P63</f>
        <v>0</v>
      </c>
      <c r="S1559" s="748">
        <f>'Part IV-Uses of Funds'!S63</f>
        <v>0</v>
      </c>
    </row>
    <row r="1560" spans="1:21" ht="13.2" customHeight="1">
      <c r="B1560" s="748" t="s">
        <v>707</v>
      </c>
      <c r="G1560" s="748">
        <f>'Part IV-Uses of Funds'!G64</f>
        <v>19500</v>
      </c>
      <c r="J1560" s="748">
        <f>'Part IV-Uses of Funds'!J64</f>
        <v>0</v>
      </c>
      <c r="M1560" s="748">
        <f>'Part IV-Uses of Funds'!M64</f>
        <v>0</v>
      </c>
      <c r="P1560" s="748">
        <f>'Part IV-Uses of Funds'!P64</f>
        <v>19500</v>
      </c>
      <c r="S1560" s="748">
        <f>'Part IV-Uses of Funds'!S64</f>
        <v>0</v>
      </c>
    </row>
    <row r="1561" spans="1:21" ht="13.2" customHeight="1">
      <c r="B1561" s="748" t="s">
        <v>708</v>
      </c>
      <c r="G1561" s="748">
        <f>'Part IV-Uses of Funds'!G65</f>
        <v>52500</v>
      </c>
      <c r="J1561" s="748">
        <f>'Part IV-Uses of Funds'!J65</f>
        <v>0</v>
      </c>
      <c r="M1561" s="748">
        <f>'Part IV-Uses of Funds'!M65</f>
        <v>0</v>
      </c>
      <c r="P1561" s="748">
        <f>'Part IV-Uses of Funds'!P65</f>
        <v>52500</v>
      </c>
      <c r="S1561" s="748">
        <f>'Part IV-Uses of Funds'!S65</f>
        <v>0</v>
      </c>
    </row>
    <row r="1562" spans="1:21" ht="13.2" customHeight="1">
      <c r="B1562" s="748" t="s">
        <v>3139</v>
      </c>
      <c r="G1562" s="748">
        <f>'Part IV-Uses of Funds'!G66</f>
        <v>25000</v>
      </c>
      <c r="J1562" s="748">
        <f>'Part IV-Uses of Funds'!J66</f>
        <v>0</v>
      </c>
      <c r="M1562" s="748">
        <f>'Part IV-Uses of Funds'!M66</f>
        <v>0</v>
      </c>
      <c r="P1562" s="748">
        <f>'Part IV-Uses of Funds'!P66</f>
        <v>25000</v>
      </c>
      <c r="S1562" s="748">
        <f>'Part IV-Uses of Funds'!S66</f>
        <v>0</v>
      </c>
    </row>
    <row r="1563" spans="1:21" ht="13.2" customHeight="1">
      <c r="A1563" s="748" t="str">
        <f>IF(AND(G1563&gt;0,OR(C1563="",C1563="&lt;Enter detailed description here; use Comments section if needed&gt;")),"X","")</f>
        <v/>
      </c>
      <c r="B1563" s="748" t="s">
        <v>1229</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249</v>
      </c>
      <c r="G1564" s="748">
        <f>SUM(G1554:H1563)</f>
        <v>249000</v>
      </c>
      <c r="J1564" s="748">
        <f>SUM(J1554:K1563)</f>
        <v>0</v>
      </c>
      <c r="M1564" s="748">
        <f>SUM(M1554:N1563)</f>
        <v>0</v>
      </c>
      <c r="P1564" s="748">
        <f>SUM(P1554:Q1563)</f>
        <v>249000</v>
      </c>
      <c r="S1564" s="748">
        <f>SUM(S1554:T1563)</f>
        <v>0</v>
      </c>
    </row>
    <row r="1565" spans="1:21" ht="13.2" customHeight="1">
      <c r="B1565" s="748" t="s">
        <v>1952</v>
      </c>
      <c r="O1565" s="748" t="str">
        <f>B1565</f>
        <v>LOCAL GOVERNMENT FEES</v>
      </c>
    </row>
    <row r="1566" spans="1:21" ht="13.2" customHeight="1">
      <c r="B1566" s="748" t="s">
        <v>1953</v>
      </c>
      <c r="G1566" s="748">
        <f>'Part IV-Uses of Funds'!G70</f>
        <v>5272</v>
      </c>
      <c r="J1566" s="748">
        <f>'Part IV-Uses of Funds'!J70</f>
        <v>0</v>
      </c>
      <c r="M1566" s="748">
        <f>'Part IV-Uses of Funds'!M70</f>
        <v>0</v>
      </c>
      <c r="P1566" s="748">
        <f>'Part IV-Uses of Funds'!P70</f>
        <v>5272</v>
      </c>
      <c r="S1566" s="748">
        <f>'Part IV-Uses of Funds'!S70</f>
        <v>0</v>
      </c>
    </row>
    <row r="1567" spans="1:21" ht="13.2"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2"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2"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2" customHeight="1">
      <c r="F1570" s="748" t="s">
        <v>249</v>
      </c>
      <c r="G1570" s="748">
        <f>SUM(G1566:H1569)</f>
        <v>5272</v>
      </c>
      <c r="J1570" s="748">
        <f>SUM(J1566:K1569)</f>
        <v>0</v>
      </c>
      <c r="M1570" s="748">
        <f>SUM(M1566:N1569)</f>
        <v>0</v>
      </c>
      <c r="P1570" s="748">
        <f>SUM(P1566:Q1569)</f>
        <v>5272</v>
      </c>
      <c r="S1570" s="748">
        <f>SUM(S1566:T1569)</f>
        <v>0</v>
      </c>
    </row>
    <row r="1571" spans="1:21" ht="13.2" customHeight="1">
      <c r="B1571" s="748" t="s">
        <v>1092</v>
      </c>
      <c r="O1571" s="748" t="str">
        <f>B1571</f>
        <v>PERMANENT FINANCING FEES</v>
      </c>
    </row>
    <row r="1572" spans="1:21" ht="13.2" customHeight="1">
      <c r="B1572" s="748" t="s">
        <v>1957</v>
      </c>
      <c r="G1572" s="748">
        <f>'Part IV-Uses of Funds'!G76</f>
        <v>0</v>
      </c>
      <c r="S1572" s="748">
        <f>'Part IV-Uses of Funds'!S76</f>
        <v>0</v>
      </c>
    </row>
    <row r="1573" spans="1:21" ht="13.2" customHeight="1">
      <c r="B1573" s="748" t="s">
        <v>1958</v>
      </c>
      <c r="G1573" s="748">
        <f>'Part IV-Uses of Funds'!G77</f>
        <v>0</v>
      </c>
      <c r="S1573" s="748">
        <f>'Part IV-Uses of Funds'!S77</f>
        <v>0</v>
      </c>
    </row>
    <row r="1574" spans="1:21" ht="13.2" customHeight="1">
      <c r="B1574" s="748" t="s">
        <v>1959</v>
      </c>
      <c r="G1574" s="748">
        <f>'Part IV-Uses of Funds'!G78</f>
        <v>19769</v>
      </c>
      <c r="J1574" s="748">
        <f>'Part IV-Uses of Funds'!J78</f>
        <v>0</v>
      </c>
      <c r="M1574" s="748">
        <f>'Part IV-Uses of Funds'!M78</f>
        <v>0</v>
      </c>
      <c r="P1574" s="748">
        <f>'Part IV-Uses of Funds'!P78</f>
        <v>19769</v>
      </c>
      <c r="S1574" s="748">
        <f>'Part IV-Uses of Funds'!S78</f>
        <v>0</v>
      </c>
    </row>
    <row r="1575" spans="1:21" ht="13.2" customHeight="1">
      <c r="B1575" s="748" t="s">
        <v>1960</v>
      </c>
      <c r="G1575" s="748">
        <f>'Part IV-Uses of Funds'!G79</f>
        <v>18000</v>
      </c>
      <c r="J1575" s="748">
        <f>'Part IV-Uses of Funds'!J79</f>
        <v>0</v>
      </c>
      <c r="M1575" s="748">
        <f>'Part IV-Uses of Funds'!M79</f>
        <v>0</v>
      </c>
      <c r="P1575" s="748">
        <f>'Part IV-Uses of Funds'!P79</f>
        <v>18000</v>
      </c>
      <c r="S1575" s="748">
        <f>'Part IV-Uses of Funds'!S79</f>
        <v>0</v>
      </c>
    </row>
    <row r="1576" spans="1:21" ht="13.2"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1229</v>
      </c>
      <c r="C1578" s="748">
        <f>'Part IV-Uses of Funds'!C82</f>
        <v>0</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249</v>
      </c>
      <c r="G1579" s="748">
        <f>SUM(G1572:H1578)</f>
        <v>37769</v>
      </c>
      <c r="J1579" s="748">
        <f>SUM(J1574:K1578)</f>
        <v>0</v>
      </c>
      <c r="M1579" s="748">
        <f>SUM(M1574:N1578)</f>
        <v>0</v>
      </c>
      <c r="P1579" s="748">
        <f>SUM(P1574:Q1578)</f>
        <v>37769</v>
      </c>
      <c r="S1579" s="748">
        <f>SUM(S1572:T1578)</f>
        <v>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2"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1500</v>
      </c>
      <c r="S1587" s="748">
        <f>'Part IV-Uses of Funds'!S91</f>
        <v>1500</v>
      </c>
    </row>
    <row r="1588" spans="1:21" ht="12.6" customHeight="1">
      <c r="B1588" s="748" t="s">
        <v>810</v>
      </c>
      <c r="E1588" s="748">
        <f>'DCA Underwriting Assumptions'!$Q$41*$J$165</f>
        <v>0</v>
      </c>
      <c r="G1588" s="748">
        <f>'Part IV-Uses of Funds'!G92</f>
        <v>37707</v>
      </c>
      <c r="S1588" s="748">
        <f>'Part IV-Uses of Funds'!S92</f>
        <v>37707</v>
      </c>
    </row>
    <row r="1589" spans="1:21" ht="12.6" customHeight="1">
      <c r="B1589" s="748" t="s">
        <v>1243</v>
      </c>
      <c r="E1589" s="748">
        <f>'Part VI-Revenues &amp; Expenses'!$M$63*'DCA Underwriting Assumptions'!$Q$44</f>
        <v>34300</v>
      </c>
      <c r="G1589" s="748">
        <f>'Part IV-Uses of Funds'!G93</f>
        <v>7350</v>
      </c>
      <c r="S1589" s="748">
        <f>'Part IV-Uses of Funds'!S93</f>
        <v>7350</v>
      </c>
    </row>
    <row r="1590" spans="1:21" ht="12.6" customHeight="1">
      <c r="B1590" s="748" t="s">
        <v>714</v>
      </c>
      <c r="G1590" s="748">
        <f>'Part IV-Uses of Funds'!G94</f>
        <v>0</v>
      </c>
      <c r="S1590" s="748">
        <f>'Part IV-Uses of Funds'!S94</f>
        <v>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f>'Part IV-Uses of Funds'!C96</f>
        <v>0</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f>'Part IV-Uses of Funds'!C97</f>
        <v>0</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53557</v>
      </c>
      <c r="S1594" s="748">
        <f>SUM(S1585:T1593)</f>
        <v>53557</v>
      </c>
    </row>
    <row r="1595" spans="1:21" ht="13.2" customHeight="1">
      <c r="B1595" s="748" t="s">
        <v>3438</v>
      </c>
      <c r="O1595" s="748" t="str">
        <f>B1595</f>
        <v>EQUITY COSTS</v>
      </c>
    </row>
    <row r="1596" spans="1:21" ht="12.6" customHeight="1">
      <c r="B1596" s="748" t="s">
        <v>370</v>
      </c>
      <c r="G1596" s="748">
        <f>'Part IV-Uses of Funds'!G100</f>
        <v>12500</v>
      </c>
      <c r="S1596" s="748">
        <f>'Part IV-Uses of Funds'!S100</f>
        <v>12500</v>
      </c>
    </row>
    <row r="1597" spans="1:21" ht="12.6" customHeight="1">
      <c r="B1597" s="748" t="s">
        <v>372</v>
      </c>
      <c r="G1597" s="748">
        <f>'Part IV-Uses of Funds'!G101</f>
        <v>10000</v>
      </c>
      <c r="S1597" s="748">
        <f>'Part IV-Uses of Funds'!S101</f>
        <v>10000</v>
      </c>
    </row>
    <row r="1598" spans="1:21" ht="12.6" customHeight="1">
      <c r="B1598" s="748" t="s">
        <v>3613</v>
      </c>
      <c r="G1598" s="748">
        <f>'Part IV-Uses of Funds'!G102</f>
        <v>40000</v>
      </c>
      <c r="S1598" s="748">
        <f>'Part IV-Uses of Funds'!S102</f>
        <v>40000</v>
      </c>
    </row>
    <row r="1599" spans="1:21" ht="12.6" customHeight="1">
      <c r="A1599" s="748" t="str">
        <f>IF(AND(G1599&gt;0,OR(C1599="",C1599="&lt;Enter detailed description here; use Comments section if needed&gt;")),"X","")</f>
        <v/>
      </c>
      <c r="B1599" s="748" t="s">
        <v>1229</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62500</v>
      </c>
      <c r="S1600" s="748">
        <f>SUM(S1596:T1599)</f>
        <v>62500</v>
      </c>
    </row>
    <row r="1601" spans="1:21" ht="13.2" customHeight="1">
      <c r="B1601" s="748" t="s">
        <v>373</v>
      </c>
      <c r="O1601" s="748" t="str">
        <f>B1601</f>
        <v>DEVELOPER'S FEE</v>
      </c>
    </row>
    <row r="1602" spans="1:21" ht="12.6" customHeight="1">
      <c r="B1602" s="748" t="s">
        <v>2913</v>
      </c>
      <c r="F1602" s="748" t="e">
        <f>G1602/$G$109</f>
        <v>#DIV/0!</v>
      </c>
      <c r="G1602" s="748">
        <f>'Part IV-Uses of Funds'!G106</f>
        <v>168775</v>
      </c>
      <c r="J1602" s="748">
        <f>'Part IV-Uses of Funds'!J106</f>
        <v>0</v>
      </c>
      <c r="M1602" s="748">
        <f>'Part IV-Uses of Funds'!M106</f>
        <v>41789</v>
      </c>
      <c r="P1602" s="748">
        <f>'Part IV-Uses of Funds'!P106</f>
        <v>126986</v>
      </c>
      <c r="S1602" s="748">
        <f>'Part IV-Uses of Funds'!S106</f>
        <v>0</v>
      </c>
    </row>
    <row r="1603" spans="1:21" ht="12.6" customHeight="1">
      <c r="B1603" s="748" t="s">
        <v>2914</v>
      </c>
      <c r="F1603" s="748" t="e">
        <f>G1603/$G$109</f>
        <v>#DIV/0!</v>
      </c>
      <c r="G1603" s="748">
        <f>'Part IV-Uses of Funds'!G107</f>
        <v>210968</v>
      </c>
      <c r="J1603" s="748">
        <f>'Part IV-Uses of Funds'!J107</f>
        <v>0</v>
      </c>
      <c r="M1603" s="748">
        <f>'Part IV-Uses of Funds'!M107</f>
        <v>52236</v>
      </c>
      <c r="P1603" s="748">
        <f>'Part IV-Uses of Funds'!P107</f>
        <v>158732</v>
      </c>
      <c r="S1603" s="748">
        <f>'Part IV-Uses of Funds'!S107</f>
        <v>0</v>
      </c>
    </row>
    <row r="1604" spans="1:21" ht="12.6" customHeight="1">
      <c r="B1604" s="748" t="s">
        <v>2906</v>
      </c>
      <c r="F1604" s="748" t="e">
        <f>G1604/$G$109</f>
        <v>#DIV/0!</v>
      </c>
      <c r="G1604" s="748">
        <f>'Part IV-Uses of Funds'!G108</f>
        <v>464130</v>
      </c>
      <c r="J1604" s="748">
        <f>'Part IV-Uses of Funds'!J108</f>
        <v>0</v>
      </c>
      <c r="M1604" s="748">
        <f>'Part IV-Uses of Funds'!M108</f>
        <v>114919</v>
      </c>
      <c r="P1604" s="748">
        <f>'Part IV-Uses of Funds'!P108</f>
        <v>349211</v>
      </c>
      <c r="S1604" s="748">
        <f>'Part IV-Uses of Funds'!S108</f>
        <v>0</v>
      </c>
    </row>
    <row r="1605" spans="1:21" ht="12.6" customHeight="1">
      <c r="C1605" s="748" t="str">
        <f>IF(G1605&lt;='DCA Underwriting Assumptions'!$Q$46,"","Developer Fee exceeds DCA Program Maximum !!!")</f>
        <v/>
      </c>
      <c r="F1605" s="748" t="s">
        <v>249</v>
      </c>
      <c r="G1605" s="748">
        <f>SUM(G1602:H1604)</f>
        <v>843873</v>
      </c>
      <c r="J1605" s="748">
        <f>SUM(J1602:K1604)</f>
        <v>0</v>
      </c>
      <c r="M1605" s="748">
        <f>SUM(M1602:N1604)</f>
        <v>208944</v>
      </c>
      <c r="P1605" s="748">
        <f>SUM(P1602:Q1604)</f>
        <v>634929</v>
      </c>
      <c r="S1605" s="748">
        <f>SUM(S1602:T1604)</f>
        <v>0</v>
      </c>
    </row>
    <row r="1606" spans="1:21" ht="13.2" customHeight="1">
      <c r="B1606" s="748" t="s">
        <v>2009</v>
      </c>
      <c r="O1606" s="748" t="str">
        <f>B1606</f>
        <v>START-UP AND RESERVES</v>
      </c>
    </row>
    <row r="1607" spans="1:21" ht="12.6" customHeight="1">
      <c r="B1607" s="748" t="s">
        <v>324</v>
      </c>
      <c r="G1607" s="748">
        <f>'Part IV-Uses of Funds'!G111</f>
        <v>10000</v>
      </c>
      <c r="S1607" s="748">
        <f>'Part IV-Uses of Funds'!S111</f>
        <v>10000</v>
      </c>
    </row>
    <row r="1608" spans="1:21" ht="12.6" customHeight="1">
      <c r="B1608" s="748" t="s">
        <v>2286</v>
      </c>
      <c r="G1608" s="748">
        <f>'Part IV-Uses of Funds'!G112</f>
        <v>40008</v>
      </c>
      <c r="S1608" s="748">
        <f>'Part IV-Uses of Funds'!S112</f>
        <v>40008</v>
      </c>
    </row>
    <row r="1609" spans="1:21" ht="12.6" customHeight="1">
      <c r="B1609" s="748" t="s">
        <v>1027</v>
      </c>
      <c r="G1609" s="748">
        <f>'Part IV-Uses of Funds'!G113</f>
        <v>96823</v>
      </c>
      <c r="S1609" s="748">
        <f>'Part IV-Uses of Funds'!S113</f>
        <v>96823</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1387.7551020408164</v>
      </c>
      <c r="G1611" s="748">
        <f>'Part IV-Uses of Funds'!G115</f>
        <v>68000</v>
      </c>
      <c r="J1611" s="748">
        <f>'Part IV-Uses of Funds'!J115</f>
        <v>0</v>
      </c>
      <c r="M1611" s="748">
        <f>'Part IV-Uses of Funds'!M115</f>
        <v>0</v>
      </c>
      <c r="P1611" s="748">
        <f>'Part IV-Uses of Funds'!P115</f>
        <v>68000</v>
      </c>
      <c r="S1611" s="748">
        <f>'Part IV-Uses of Funds'!S115</f>
        <v>0</v>
      </c>
    </row>
    <row r="1612" spans="1:21" ht="12.6" customHeight="1">
      <c r="A1612" s="748" t="str">
        <f>IF(AND(G1612&gt;0,OR(C1612="",C1612="&lt;Enter detailed description here; use Comments section if needed&gt;")),"X","")</f>
        <v/>
      </c>
      <c r="B1612" s="748" t="s">
        <v>1229</v>
      </c>
      <c r="C1612" s="748">
        <f>'Part IV-Uses of Funds'!C116</f>
        <v>0</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214831</v>
      </c>
      <c r="J1613" s="748">
        <f>SUM(J1611:K1612)</f>
        <v>0</v>
      </c>
      <c r="M1613" s="748">
        <f>SUM(M1611:N1612)</f>
        <v>0</v>
      </c>
      <c r="P1613" s="748">
        <f>SUM(P1611:Q1612)</f>
        <v>68000</v>
      </c>
      <c r="S1613" s="748">
        <f>SUM(S1607:T1612)</f>
        <v>146831</v>
      </c>
    </row>
    <row r="1614" spans="1:21" ht="13.2" customHeight="1">
      <c r="B1614" s="748" t="s">
        <v>942</v>
      </c>
      <c r="O1614" s="748" t="str">
        <f>B1614</f>
        <v>OTHER COSTS</v>
      </c>
    </row>
    <row r="1615" spans="1:21" ht="12.6" customHeight="1">
      <c r="B1615" s="748" t="s">
        <v>943</v>
      </c>
      <c r="G1615" s="748">
        <f>'Part IV-Uses of Funds'!G119</f>
        <v>98000</v>
      </c>
      <c r="J1615" s="748">
        <f>'Part IV-Uses of Funds'!J119</f>
        <v>0</v>
      </c>
      <c r="M1615" s="748">
        <f>'Part IV-Uses of Funds'!M119</f>
        <v>0</v>
      </c>
      <c r="P1615" s="748">
        <f>'Part IV-Uses of Funds'!P119</f>
        <v>98000</v>
      </c>
      <c r="S1615" s="748">
        <f>'Part IV-Uses of Funds'!S119</f>
        <v>0</v>
      </c>
    </row>
    <row r="1616" spans="1:21" ht="12.6" customHeight="1">
      <c r="A1616" s="748" t="str">
        <f>IF(AND(G1616&gt;0,OR(C1616="",C1616="&lt;Enter detailed description here; use Comments section if needed&gt;")),"X","")</f>
        <v/>
      </c>
      <c r="B1616" s="748" t="s">
        <v>1229</v>
      </c>
      <c r="C1616" s="748">
        <f>'Part IV-Uses of Funds'!C120</f>
        <v>0</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98000</v>
      </c>
      <c r="J1617" s="748">
        <f>SUM(J1615:K1616)</f>
        <v>0</v>
      </c>
      <c r="M1617" s="748">
        <f>SUM(M1615:N1616)</f>
        <v>0</v>
      </c>
      <c r="P1617" s="748">
        <f>SUM(P1615:Q1616)</f>
        <v>98000</v>
      </c>
      <c r="S1617" s="748">
        <f>SUM(S1615:T1616)</f>
        <v>0</v>
      </c>
    </row>
    <row r="1618" spans="1:19" ht="3" customHeight="1"/>
    <row r="1619" spans="1:19" ht="13.95" customHeight="1">
      <c r="B1619" s="748" t="s">
        <v>374</v>
      </c>
      <c r="G1619" s="748">
        <f>G1513+G1519+G1523+G1528+G1532+G1538+G1552+G1564+G1570+G1579+G1594+G1600+G1605+G1613+G1617</f>
        <v>6589694</v>
      </c>
      <c r="J1619" s="748">
        <f>J1513+J1519+J1523+J1528+J1532+J1538+J1552+J1564+J1570+J1579+J1594+J1600+J1605+J1613+J1617</f>
        <v>0</v>
      </c>
      <c r="M1619" s="748">
        <f>M1513+M1519+M1523+M1528+M1532+M1538+M1552+M1564+M1570+M1579+M1594+M1600+M1605+M1613+M1617</f>
        <v>1601903</v>
      </c>
      <c r="P1619" s="748">
        <f>P1513+P1519+P1523+P1528+P1532+P1538+P1552+P1564+P1570+P1579+P1594+P1600+P1605+P1613+P1617</f>
        <v>4597132</v>
      </c>
      <c r="S1619" s="748">
        <f>S1513+S1519+S1523+S1528+S1532+S1538+S1552+S1564+S1570+S1579+S1594+S1600+S1605+S1613+S1617</f>
        <v>390659</v>
      </c>
    </row>
    <row r="1620" spans="1:19" ht="3" customHeight="1"/>
    <row r="1621" spans="1:19" ht="13.95" customHeight="1">
      <c r="B1621" s="748" t="s">
        <v>3894</v>
      </c>
      <c r="D1621" s="748">
        <f>IF(AND($T$155 = "Yes", 'Part IX A-Scoring Criteria'!$O$176 &gt; 0),'DCA Underwriting Assumptions'!$R$13, IF(AND('Part IV-Uses of Funds'!$T$156="Yes", 'Part IX A-Scoring Criteria'!$O$74&gt;0),'DCA Underwriting Assumptions'!$R$12, 'DCA Underwriting Assumptions'!$R$11))</f>
        <v>7108451</v>
      </c>
      <c r="F1621" s="748" t="s">
        <v>1037</v>
      </c>
      <c r="G1621" s="748">
        <f>G1619/'Part VI-Revenues &amp; Expenses'!$M$63</f>
        <v>134483.55102040817</v>
      </c>
      <c r="J1621" s="748" t="s">
        <v>1038</v>
      </c>
      <c r="M1621" s="748">
        <f>G1619/'Part VI-Revenues &amp; Expenses'!$M$98</f>
        <v>164.79590867031786</v>
      </c>
    </row>
    <row r="1622" spans="1:19" ht="3" customHeight="1"/>
    <row r="1623" spans="1:19" ht="3.6" customHeight="1"/>
    <row r="1624" spans="1:19" ht="25.95" customHeight="1">
      <c r="A1624" s="748" t="s">
        <v>1228</v>
      </c>
      <c r="B1624" s="748" t="s">
        <v>2144</v>
      </c>
      <c r="J1624" s="748" t="s">
        <v>359</v>
      </c>
      <c r="M1624" s="748" t="s">
        <v>114</v>
      </c>
      <c r="P1624" s="748" t="s">
        <v>360</v>
      </c>
    </row>
    <row r="1625" spans="1:19" ht="15" customHeight="1">
      <c r="B1625" s="748" t="s">
        <v>3134</v>
      </c>
    </row>
    <row r="1626" spans="1:19" ht="6" customHeight="1"/>
    <row r="1627" spans="1:19" ht="13.95" customHeight="1">
      <c r="B1627" s="748" t="s">
        <v>185</v>
      </c>
      <c r="J1627" s="748">
        <f>'Part IV-Uses of Funds'!J131</f>
        <v>0</v>
      </c>
      <c r="P1627" s="748">
        <f>'Part IV-Uses of Funds'!P131</f>
        <v>0</v>
      </c>
    </row>
    <row r="1628" spans="1:19" ht="13.95" customHeight="1">
      <c r="B1628" s="748" t="s">
        <v>3254</v>
      </c>
      <c r="J1628" s="748">
        <f>'Part IV-Uses of Funds'!J132</f>
        <v>0</v>
      </c>
      <c r="P1628" s="748">
        <f>'Part IV-Uses of Funds'!P132</f>
        <v>0</v>
      </c>
    </row>
    <row r="1629" spans="1:19" ht="13.95" customHeight="1">
      <c r="B1629" s="748" t="s">
        <v>2916</v>
      </c>
      <c r="J1629" s="748">
        <f>'Part IV-Uses of Funds'!J133</f>
        <v>0</v>
      </c>
      <c r="P1629" s="748">
        <f>'Part IV-Uses of Funds'!P133</f>
        <v>0</v>
      </c>
    </row>
    <row r="1630" spans="1:19" ht="13.95" customHeight="1">
      <c r="B1630" s="748" t="s">
        <v>2917</v>
      </c>
      <c r="J1630" s="748">
        <f>'Part IV-Uses of Funds'!J134</f>
        <v>0</v>
      </c>
      <c r="P1630" s="748">
        <f>'Part IV-Uses of Funds'!P134</f>
        <v>0</v>
      </c>
    </row>
    <row r="1631" spans="1:19" ht="13.95" customHeight="1">
      <c r="B1631" s="748" t="s">
        <v>329</v>
      </c>
      <c r="J1631" s="748">
        <f>'Part IV-Uses of Funds'!J135</f>
        <v>0</v>
      </c>
      <c r="P1631" s="748">
        <f>'Part IV-Uses of Funds'!P135</f>
        <v>0</v>
      </c>
    </row>
    <row r="1632" spans="1:19" ht="13.95"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5" customHeight="1">
      <c r="B1633" s="748" t="s">
        <v>2918</v>
      </c>
      <c r="J1633" s="748">
        <f>SUM(J1627:K1632)</f>
        <v>0</v>
      </c>
      <c r="P1633" s="748">
        <f>SUM(P1627:Q1632)</f>
        <v>0</v>
      </c>
    </row>
    <row r="1634" spans="1:19" ht="3" customHeight="1"/>
    <row r="1635" spans="1:19" ht="15" customHeight="1">
      <c r="B1635" s="748" t="s">
        <v>3486</v>
      </c>
    </row>
    <row r="1636" spans="1:19" ht="13.95" customHeight="1">
      <c r="B1636" s="748" t="s">
        <v>2820</v>
      </c>
      <c r="J1636" s="748">
        <f>J1619</f>
        <v>0</v>
      </c>
      <c r="M1636" s="748">
        <f>M1619</f>
        <v>1601903</v>
      </c>
      <c r="P1636" s="748">
        <f>P1619</f>
        <v>4597132</v>
      </c>
    </row>
    <row r="1637" spans="1:19" ht="13.95" customHeight="1">
      <c r="B1637" s="748" t="s">
        <v>3342</v>
      </c>
      <c r="J1637" s="748">
        <f>J1633</f>
        <v>0</v>
      </c>
      <c r="P1637" s="748">
        <f>P1633</f>
        <v>0</v>
      </c>
    </row>
    <row r="1638" spans="1:19" ht="13.95" customHeight="1">
      <c r="B1638" s="748" t="s">
        <v>3343</v>
      </c>
      <c r="J1638" s="748">
        <f>J1636-J1637</f>
        <v>0</v>
      </c>
      <c r="M1638" s="748">
        <f>M1636</f>
        <v>1601903</v>
      </c>
      <c r="P1638" s="748">
        <f>P1636-P1637</f>
        <v>4597132</v>
      </c>
    </row>
    <row r="1639" spans="1:19" ht="13.95" customHeight="1">
      <c r="B1639" s="748" t="s">
        <v>2227</v>
      </c>
      <c r="G1639" s="748" t="s">
        <v>2733</v>
      </c>
      <c r="H1639" s="748" t="str">
        <f>'Part IV-Uses of Funds'!H143</f>
        <v>State Boost</v>
      </c>
      <c r="J1639" s="748">
        <f>'Part IV-Uses of Funds'!J143</f>
        <v>0</v>
      </c>
      <c r="P1639" s="748">
        <f>'Part IV-Uses of Funds'!P143</f>
        <v>1.18</v>
      </c>
    </row>
    <row r="1640" spans="1:19" ht="13.95" customHeight="1">
      <c r="B1640" s="748" t="s">
        <v>3148</v>
      </c>
      <c r="J1640" s="748">
        <f>J1638*J1639</f>
        <v>0</v>
      </c>
      <c r="M1640" s="748">
        <f>+M1638</f>
        <v>1601903</v>
      </c>
      <c r="P1640" s="748">
        <f>P1638*P1639</f>
        <v>5424615.7599999998</v>
      </c>
    </row>
    <row r="1641" spans="1:19" ht="13.95"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5" customHeight="1">
      <c r="B1642" s="748" t="s">
        <v>3135</v>
      </c>
      <c r="J1642" s="748">
        <f>J1640*J1641</f>
        <v>0</v>
      </c>
      <c r="M1642" s="748">
        <f>M1640*M1641</f>
        <v>1601903</v>
      </c>
      <c r="P1642" s="748">
        <f>P1640*P1641</f>
        <v>5424615.7599999998</v>
      </c>
    </row>
    <row r="1643" spans="1:19" ht="13.95" customHeight="1">
      <c r="B1643" s="748" t="s">
        <v>3136</v>
      </c>
      <c r="J1643" s="748">
        <f>'Part IV-Uses of Funds'!J147</f>
        <v>0</v>
      </c>
      <c r="M1643" s="748">
        <f>'Part IV-Uses of Funds'!M147</f>
        <v>3.3300000000000003E-2</v>
      </c>
      <c r="P1643" s="748">
        <f>'Part IV-Uses of Funds'!P147</f>
        <v>0.09</v>
      </c>
    </row>
    <row r="1644" spans="1:19" ht="13.95" customHeight="1">
      <c r="B1644" s="748" t="s">
        <v>3839</v>
      </c>
      <c r="J1644" s="748">
        <f>J1642*J1643</f>
        <v>0</v>
      </c>
      <c r="M1644" s="748">
        <f>M1642*M1643</f>
        <v>53343.369900000005</v>
      </c>
      <c r="P1644" s="748">
        <f>P1642*P1643</f>
        <v>488215.41839999997</v>
      </c>
    </row>
    <row r="1645" spans="1:19" ht="13.95" customHeight="1">
      <c r="B1645" s="748" t="s">
        <v>2142</v>
      </c>
      <c r="J1645" s="748">
        <f>J1644+M1644+P1644</f>
        <v>541558.78830000001</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6589694</v>
      </c>
      <c r="M1648" s="748" t="s">
        <v>3643</v>
      </c>
    </row>
    <row r="1649" spans="1:20" ht="13.95" customHeight="1">
      <c r="B1649" s="748" t="s">
        <v>3602</v>
      </c>
      <c r="J1649" s="748">
        <f>'Part IV-Uses of Funds'!J153</f>
        <v>6589694</v>
      </c>
    </row>
    <row r="1650" spans="1:20" ht="13.95" customHeight="1">
      <c r="B1650" s="748" t="s">
        <v>341</v>
      </c>
      <c r="J1650" s="749">
        <f>'Part III A-Sources of Funds'!$H$49-'Part III A-Sources of Funds'!$H$37-'Part III A-Sources of Funds'!$H$40-'Part III A-Sources of Funds'!$H$41</f>
        <v>1202959</v>
      </c>
      <c r="T1650" s="748" t="s">
        <v>344</v>
      </c>
    </row>
    <row r="1651" spans="1:20" ht="13.95" customHeight="1">
      <c r="B1651" s="748" t="s">
        <v>3355</v>
      </c>
      <c r="J1651" s="748">
        <f>+J1649-J1650</f>
        <v>5386735</v>
      </c>
      <c r="M1651" s="748" t="s">
        <v>342</v>
      </c>
      <c r="O1651" s="748" t="s">
        <v>2651</v>
      </c>
      <c r="S1651" s="748" t="s">
        <v>2650</v>
      </c>
      <c r="T1651" s="748">
        <f>'Part IV-Uses of Funds'!T155</f>
        <v>0</v>
      </c>
    </row>
    <row r="1652" spans="1:20" ht="13.95" customHeight="1">
      <c r="B1652" s="748" t="s">
        <v>1985</v>
      </c>
      <c r="J1652" s="748" t="str">
        <f>"/ 10"</f>
        <v>/ 10</v>
      </c>
      <c r="M1652" s="748">
        <f>'Part IV-Uses of Funds'!M156</f>
        <v>0</v>
      </c>
      <c r="O1652" s="748">
        <f>'Part IV-Uses of Funds'!O156</f>
        <v>0</v>
      </c>
      <c r="S1652" s="748" t="s">
        <v>343</v>
      </c>
      <c r="T1652" s="748">
        <f>'Part IV-Uses of Funds'!T156</f>
        <v>0</v>
      </c>
    </row>
    <row r="1653" spans="1:20" ht="13.95" customHeight="1">
      <c r="B1653" s="748" t="s">
        <v>1986</v>
      </c>
      <c r="J1653" s="748">
        <f>J1651/10</f>
        <v>538673.5</v>
      </c>
      <c r="N1653" s="748" t="s">
        <v>1987</v>
      </c>
      <c r="Q1653" s="748" t="s">
        <v>2829</v>
      </c>
    </row>
    <row r="1654" spans="1:20" ht="13.95" customHeight="1">
      <c r="B1654" s="748" t="s">
        <v>4070</v>
      </c>
      <c r="J1654" s="748">
        <f>N1654+Q1654</f>
        <v>1</v>
      </c>
      <c r="M1654" s="748" t="s">
        <v>1988</v>
      </c>
      <c r="N1654" s="748">
        <f>'Part IV-Uses of Funds'!N158</f>
        <v>0.75</v>
      </c>
      <c r="P1654" s="748" t="s">
        <v>944</v>
      </c>
      <c r="Q1654" s="748">
        <f>'Part IV-Uses of Funds'!Q158</f>
        <v>0.25</v>
      </c>
    </row>
    <row r="1655" spans="1:20" ht="13.95" customHeight="1">
      <c r="B1655" s="748" t="s">
        <v>2143</v>
      </c>
      <c r="J1655" s="748">
        <f>IF(J1654=0,"",J1653/J1654)</f>
        <v>538673.5</v>
      </c>
    </row>
    <row r="1656" spans="1:20" ht="9" customHeight="1"/>
    <row r="1657" spans="1:20" ht="16.2" customHeight="1">
      <c r="B1657" s="748" t="s">
        <v>3603</v>
      </c>
      <c r="J1657" s="748">
        <f>+MIN(J1645,J1655,'DCA Underwriting Assumptions'!$R$6)</f>
        <v>538673.5</v>
      </c>
    </row>
    <row r="1658" spans="1:20" ht="9.6" customHeight="1"/>
    <row r="1659" spans="1:20" ht="16.2" customHeight="1">
      <c r="B1659" s="748" t="s">
        <v>3604</v>
      </c>
      <c r="J1659" s="748">
        <f>'Part IV-Uses of Funds'!J163</f>
        <v>538673.5</v>
      </c>
      <c r="M1659" s="748" t="str">
        <f>IF(J1659&gt;J1657,"ALLOCATION CANNOT EXCEED MAXIMUM - REVISE ALLOCATION!","")</f>
        <v/>
      </c>
    </row>
    <row r="1660" spans="1:20" ht="9.6" customHeight="1"/>
    <row r="1661" spans="1:20" ht="16.2" customHeight="1">
      <c r="A1661" s="748" t="s">
        <v>2822</v>
      </c>
      <c r="B1661" s="748" t="s">
        <v>3605</v>
      </c>
      <c r="J1661" s="748">
        <f>+MIN(J1657,J1659)</f>
        <v>538673.5</v>
      </c>
    </row>
    <row r="1662" spans="1:20" ht="3" customHeight="1"/>
    <row r="1663" spans="1:20" ht="6" customHeight="1"/>
    <row r="1664" spans="1:20" ht="12" customHeight="1">
      <c r="A1664" s="748" t="s">
        <v>2824</v>
      </c>
      <c r="B1664" s="748" t="s">
        <v>878</v>
      </c>
      <c r="K1664" s="748" t="s">
        <v>821</v>
      </c>
      <c r="L1664" s="748" t="s">
        <v>89</v>
      </c>
    </row>
    <row r="1665" spans="1:12" ht="107.4" customHeight="1">
      <c r="A1665" s="748" t="str">
        <f>'Part IV-Uses of Funds'!A169</f>
        <v>We are requesting a state basis boost of 18%. Per the QAP, Core Section, Pages 15&amp;16, we meet the eligibility requirements as the project is located in a rural area and does not utiliize DCA Home funds as a source.  Per project specific question #14 related to deferred developer fee when using the state designated basis boost and assuming the USDA current debt, we are not deferring developer fee at the rate of .5% for each 1% of basis boost. DCA response to our question was :     Response: Section 5 D of the core states that DCA will generally require that any project receiving a state designated basis boost defer .5% of the total developer fee for every 1% in state designated basis boost granted to the project and that “if the project receives debt or grant from an independent non-related party in the amount of at least 15% of the total developer fee” the requirement does not apply.  Any assumed Sec. 515 debt counts towards the minimum 15% debt/grant financing requirement.  The letter from DCA can be found in Tab 39</v>
      </c>
      <c r="K1665" s="748">
        <f>'Part IV-Uses of Funds'!K169</f>
        <v>0</v>
      </c>
    </row>
    <row r="1666" spans="1:12" ht="107.4" customHeight="1">
      <c r="A1666" s="748" t="str">
        <f>'Part IV-Uses of Funds'!A170</f>
        <v xml:space="preserve">Permiting costs are based on a conversation with Matt Turknett of the city of Cochran. Per the City of Cochran,  building permit costs are $1,200 for the first $500,000, plus $1.75 for each additioinal $1,000 of hard cost construction. There are no local government fees for water or sewer taps as this is an existing property with existing service. This was confirmed with the city of Cochran                                                                                                                                                                                                     
</v>
      </c>
      <c r="K1666" s="748">
        <f>'Part IV-Uses of Funds'!K170</f>
        <v>0</v>
      </c>
    </row>
    <row r="1667" spans="1:12" ht="107.4" customHeight="1">
      <c r="A1667" s="748" t="str">
        <f>'Part IV-Uses of Funds'!A171</f>
        <v>The $30,000 located in the construction interest line item represents a budget amount for the payments due on the exisiting USDA 515 mortgage. The compliance fee due for USDA rural properties is $150.00 per unit.</v>
      </c>
      <c r="K1667" s="748">
        <f>'Part IV-Uses of Funds'!K171</f>
        <v>0</v>
      </c>
    </row>
    <row r="1668" spans="1:12" ht="107.4" customHeight="1">
      <c r="A1668" s="748" t="str">
        <f>'Part IV-Uses of Funds'!A172</f>
        <v>Construction hard costs are based on an estimate from Taylor Commercial. A copy of the estimate is located in Tab 8.</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2011-003 Pecan Point Apartments, ,  County</v>
      </c>
    </row>
    <row r="1675" spans="1:12">
      <c r="F1675" s="748" t="s">
        <v>805</v>
      </c>
      <c r="I1675" s="748" t="str">
        <f>VLOOKUP('Part I-Project Information'!$J$25,'Part I-Project Information'!$C$183:$D$342,2)</f>
        <v>South</v>
      </c>
    </row>
    <row r="1677" spans="1:12">
      <c r="A1677" s="748" t="s">
        <v>949</v>
      </c>
      <c r="B1677" s="748" t="s">
        <v>3350</v>
      </c>
      <c r="F1677" s="748" t="s">
        <v>3804</v>
      </c>
      <c r="I1677" s="748" t="str">
        <f>'Part V-Utility Allowances'!I5</f>
        <v>2011 USDA Approved Budget</v>
      </c>
    </row>
    <row r="1678" spans="1:12">
      <c r="F1678" s="748" t="s">
        <v>971</v>
      </c>
      <c r="I1678" s="748">
        <f>'Part V-Utility Allowances'!I6</f>
        <v>40544</v>
      </c>
      <c r="K1678" s="748" t="s">
        <v>832</v>
      </c>
      <c r="L1678" s="748" t="str">
        <f>'Part V-Utility Allowances'!L6</f>
        <v>MF</v>
      </c>
    </row>
    <row r="1680" spans="1:12">
      <c r="F1680" s="748" t="s">
        <v>941</v>
      </c>
      <c r="I1680" s="748" t="s">
        <v>258</v>
      </c>
    </row>
    <row r="1681" spans="1:13">
      <c r="B1681" s="748" t="s">
        <v>1379</v>
      </c>
      <c r="D1681" s="748" t="s">
        <v>2360</v>
      </c>
      <c r="F1681" s="748" t="s">
        <v>977</v>
      </c>
      <c r="G1681" s="748" t="s">
        <v>2902</v>
      </c>
      <c r="I1681" s="748">
        <v>0</v>
      </c>
      <c r="J1681" s="748">
        <v>1</v>
      </c>
      <c r="K1681" s="748">
        <v>2</v>
      </c>
      <c r="L1681" s="748">
        <v>3</v>
      </c>
      <c r="M1681" s="748">
        <v>4</v>
      </c>
    </row>
    <row r="1682" spans="1:13">
      <c r="B1682" s="748" t="s">
        <v>2904</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76</v>
      </c>
      <c r="K1686" s="748">
        <f>'Part V-Utility Allowances'!K14</f>
        <v>95</v>
      </c>
      <c r="L1686" s="748">
        <f>'Part V-Utility Allowances'!L14</f>
        <v>0</v>
      </c>
      <c r="M1686" s="748">
        <f>'Part V-Utility Allowances'!M14</f>
        <v>0</v>
      </c>
    </row>
    <row r="1687" spans="1:13">
      <c r="B1687" s="748" t="s">
        <v>2071</v>
      </c>
      <c r="D1687" s="748" t="s">
        <v>3349</v>
      </c>
      <c r="E1687" s="748" t="str">
        <f>'Part V-Utility Allowances'!E15</f>
        <v>Yes</v>
      </c>
      <c r="F1687" s="748" t="str">
        <f>'Part V-Utility Allowances'!F15</f>
        <v>X</v>
      </c>
      <c r="G1687" s="748">
        <f>'Part V-Utility Allowances'!G15</f>
        <v>0</v>
      </c>
      <c r="I1687" s="748">
        <f>'Part V-Utility Allowances'!I15</f>
        <v>0</v>
      </c>
      <c r="J1687" s="748">
        <f>'Part V-Utility Allowances'!J15</f>
        <v>18</v>
      </c>
      <c r="K1687" s="748">
        <f>'Part V-Utility Allowances'!K15</f>
        <v>23</v>
      </c>
      <c r="L1687" s="748">
        <f>'Part V-Utility Allowances'!L15</f>
        <v>0</v>
      </c>
      <c r="M1687" s="748">
        <f>'Part V-Utility Allowances'!M15</f>
        <v>0</v>
      </c>
    </row>
    <row r="1688" spans="1:13">
      <c r="B1688" s="748" t="s">
        <v>2903</v>
      </c>
      <c r="F1688" s="748" t="str">
        <f>'Part V-Utility Allowances'!F16</f>
        <v>X</v>
      </c>
      <c r="G1688" s="748">
        <f>'Part V-Utility Allowances'!G16</f>
        <v>0</v>
      </c>
      <c r="I1688" s="748">
        <f>'Part V-Utility Allowances'!I16</f>
        <v>0</v>
      </c>
      <c r="J1688" s="748">
        <f>'Part V-Utility Allowances'!J16</f>
        <v>16</v>
      </c>
      <c r="K1688" s="748">
        <f>'Part V-Utility Allowances'!K16</f>
        <v>16</v>
      </c>
      <c r="L1688" s="748">
        <f>'Part V-Utility Allowances'!L16</f>
        <v>0</v>
      </c>
      <c r="M1688" s="748">
        <f>'Part V-Utility Allowances'!M16</f>
        <v>0</v>
      </c>
    </row>
    <row r="1689" spans="1:13">
      <c r="B1689" s="748" t="s">
        <v>1639</v>
      </c>
      <c r="I1689" s="748">
        <f>SUM(I1682:I1688)</f>
        <v>0</v>
      </c>
      <c r="J1689" s="748">
        <f>SUM(J1682:J1688)</f>
        <v>110</v>
      </c>
      <c r="K1689" s="748">
        <f>SUM(K1682:K1688)</f>
        <v>134</v>
      </c>
      <c r="L1689" s="748">
        <f>SUM(L1682:L1688)</f>
        <v>0</v>
      </c>
      <c r="M1689" s="748">
        <f>SUM(M1682:M1688)</f>
        <v>0</v>
      </c>
    </row>
    <row r="1691" spans="1:13">
      <c r="A1691" s="748" t="s">
        <v>1228</v>
      </c>
      <c r="B1691" s="748" t="s">
        <v>3351</v>
      </c>
      <c r="F1691" s="748" t="s">
        <v>3804</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2839</v>
      </c>
    </row>
    <row r="1707" spans="2:13">
      <c r="B1707" s="748" t="s">
        <v>878</v>
      </c>
    </row>
    <row r="1708" spans="2:13">
      <c r="B1708" s="748" t="str">
        <f>'Part V-Utility Allowances'!B36</f>
        <v xml:space="preserve">The Utiltiy Allowance Schedule is included in Tab 7. </v>
      </c>
    </row>
    <row r="1709" spans="2:13">
      <c r="B1709" s="748" t="str">
        <f>'Part V-Utility Allowances'!B37</f>
        <v>The included schedule does not breakdown the electric utility for each item which is why we have provided a lump sum for all electric items</v>
      </c>
    </row>
    <row r="1711" spans="2:13">
      <c r="B1711" s="748" t="s">
        <v>2896</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2011-003 Pecan Point Apartments, ,  County</v>
      </c>
    </row>
    <row r="1717" spans="1:219" ht="12" customHeight="1"/>
    <row r="1718" spans="1:219" ht="12.6" customHeight="1">
      <c r="A1718" s="748" t="s">
        <v>949</v>
      </c>
      <c r="B1718" s="748" t="s">
        <v>3570</v>
      </c>
      <c r="D1718" s="748" t="s">
        <v>328</v>
      </c>
      <c r="N1718" s="748" t="s">
        <v>885</v>
      </c>
      <c r="O1718" s="748" t="str">
        <f>'Part I-Project Information'!$J$26</f>
        <v>Bleckley Co.</v>
      </c>
      <c r="EY1718" s="748" t="s">
        <v>715</v>
      </c>
      <c r="EZ1718" s="748" t="s">
        <v>3685</v>
      </c>
      <c r="FA1718" s="748" t="s">
        <v>3686</v>
      </c>
      <c r="FB1718" s="748" t="s">
        <v>3687</v>
      </c>
      <c r="FC1718" s="748" t="s">
        <v>3688</v>
      </c>
      <c r="FI1718" s="748" t="s">
        <v>715</v>
      </c>
      <c r="FJ1718" s="748" t="s">
        <v>3685</v>
      </c>
      <c r="FK1718" s="748" t="s">
        <v>3686</v>
      </c>
      <c r="FL1718" s="748" t="s">
        <v>3687</v>
      </c>
      <c r="FM1718" s="748" t="s">
        <v>3688</v>
      </c>
      <c r="FN1718" s="748" t="s">
        <v>715</v>
      </c>
      <c r="FO1718" s="748" t="s">
        <v>3685</v>
      </c>
      <c r="FP1718" s="748" t="s">
        <v>3686</v>
      </c>
      <c r="FQ1718" s="748" t="s">
        <v>3687</v>
      </c>
      <c r="FR1718" s="748" t="s">
        <v>3688</v>
      </c>
      <c r="FS1718" s="748" t="s">
        <v>715</v>
      </c>
      <c r="FT1718" s="748" t="s">
        <v>3685</v>
      </c>
      <c r="FU1718" s="748" t="s">
        <v>3686</v>
      </c>
      <c r="FV1718" s="748" t="s">
        <v>3687</v>
      </c>
      <c r="FW1718" s="748" t="s">
        <v>3688</v>
      </c>
      <c r="FX1718" s="748" t="s">
        <v>715</v>
      </c>
      <c r="FY1718" s="748" t="s">
        <v>3685</v>
      </c>
      <c r="FZ1718" s="748" t="s">
        <v>3686</v>
      </c>
      <c r="GA1718" s="748" t="s">
        <v>3687</v>
      </c>
      <c r="GB1718" s="748" t="s">
        <v>3688</v>
      </c>
      <c r="GC1718" s="748" t="s">
        <v>715</v>
      </c>
      <c r="GD1718" s="748" t="s">
        <v>3685</v>
      </c>
      <c r="GE1718" s="748" t="s">
        <v>3686</v>
      </c>
      <c r="GF1718" s="748" t="s">
        <v>3687</v>
      </c>
      <c r="GG1718" s="748" t="s">
        <v>3688</v>
      </c>
      <c r="GH1718" s="748" t="s">
        <v>715</v>
      </c>
      <c r="GI1718" s="748" t="s">
        <v>3685</v>
      </c>
      <c r="GJ1718" s="748" t="s">
        <v>3686</v>
      </c>
      <c r="GK1718" s="748" t="s">
        <v>3687</v>
      </c>
      <c r="GL1718" s="748" t="s">
        <v>3688</v>
      </c>
    </row>
    <row r="1719" spans="1:219" ht="12.6" customHeight="1">
      <c r="T1719" s="748" t="s">
        <v>1512</v>
      </c>
      <c r="U1719" s="748" t="s">
        <v>1246</v>
      </c>
      <c r="V1719" s="748" t="s">
        <v>1247</v>
      </c>
      <c r="W1719" s="748" t="s">
        <v>1248</v>
      </c>
      <c r="X1719" s="748" t="s">
        <v>1249</v>
      </c>
      <c r="Y1719" s="748" t="s">
        <v>1513</v>
      </c>
      <c r="Z1719" s="748" t="s">
        <v>3451</v>
      </c>
      <c r="AA1719" s="748" t="s">
        <v>3452</v>
      </c>
      <c r="AB1719" s="748" t="s">
        <v>3453</v>
      </c>
      <c r="AC1719" s="748" t="s">
        <v>3454</v>
      </c>
      <c r="AD1719" s="748" t="s">
        <v>1514</v>
      </c>
      <c r="AE1719" s="748" t="s">
        <v>3455</v>
      </c>
      <c r="AF1719" s="748" t="s">
        <v>3456</v>
      </c>
      <c r="AG1719" s="748" t="s">
        <v>3457</v>
      </c>
      <c r="AH1719" s="748" t="s">
        <v>3458</v>
      </c>
      <c r="AI1719" s="748" t="s">
        <v>152</v>
      </c>
      <c r="AJ1719" s="748" t="s">
        <v>3459</v>
      </c>
      <c r="AK1719" s="748" t="s">
        <v>3460</v>
      </c>
      <c r="AL1719" s="748" t="s">
        <v>3461</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3675</v>
      </c>
      <c r="BS1719" s="748" t="s">
        <v>3676</v>
      </c>
      <c r="BT1719" s="748" t="s">
        <v>3677</v>
      </c>
      <c r="BU1719" s="748" t="s">
        <v>3678</v>
      </c>
      <c r="BV1719" s="748" t="s">
        <v>3679</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3674</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3320</v>
      </c>
      <c r="EK1719" s="748" t="s">
        <v>3321</v>
      </c>
      <c r="EL1719" s="748" t="s">
        <v>3322</v>
      </c>
      <c r="EM1719" s="748" t="s">
        <v>2212</v>
      </c>
      <c r="EN1719" s="748" t="s">
        <v>2213</v>
      </c>
      <c r="EO1719" s="748" t="s">
        <v>29</v>
      </c>
      <c r="EP1719" s="748" t="s">
        <v>30</v>
      </c>
      <c r="EQ1719" s="748" t="s">
        <v>31</v>
      </c>
      <c r="ER1719" s="748" t="s">
        <v>32</v>
      </c>
      <c r="ES1719" s="748" t="s">
        <v>33</v>
      </c>
      <c r="GM1719" s="748" t="s">
        <v>2527</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2" customHeight="1">
      <c r="B1720" s="748" t="s">
        <v>2897</v>
      </c>
      <c r="G1720" s="748">
        <f>'Part VI-Revenues &amp; Expenses'!G5</f>
        <v>0</v>
      </c>
      <c r="P1720" s="748" t="s">
        <v>1657</v>
      </c>
    </row>
    <row r="1721" spans="1:219" ht="13.2" customHeight="1">
      <c r="B1721" s="748" t="s">
        <v>2838</v>
      </c>
      <c r="G1721" s="748" t="str">
        <f>'Part VI-Revenues &amp; Expenses'!G6</f>
        <v>No</v>
      </c>
      <c r="J1721" s="748" t="s">
        <v>3644</v>
      </c>
      <c r="P1721" s="748">
        <f>VLOOKUP('Part I-Project Information'!$J$26,'DCA Underwriting Assumptions'!$C$77:$D$187,2)</f>
        <v>51100</v>
      </c>
    </row>
    <row r="1722" spans="1:219" ht="13.95" customHeight="1">
      <c r="A1722" s="748" t="str">
        <f>IF(A1763&gt;0,"Finish!","")</f>
        <v/>
      </c>
      <c r="J1722" s="748" t="s">
        <v>3645</v>
      </c>
    </row>
    <row r="1723" spans="1:219" ht="13.95" customHeight="1">
      <c r="B1723" s="748" t="s">
        <v>2211</v>
      </c>
      <c r="C1723" s="748" t="s">
        <v>228</v>
      </c>
      <c r="D1723" s="748" t="s">
        <v>838</v>
      </c>
      <c r="E1723" s="748" t="s">
        <v>2209</v>
      </c>
      <c r="F1723" s="748" t="s">
        <v>2209</v>
      </c>
      <c r="G1723" s="748" t="s">
        <v>3616</v>
      </c>
      <c r="H1723" s="748" t="s">
        <v>3614</v>
      </c>
      <c r="I1723" s="748" t="s">
        <v>1379</v>
      </c>
      <c r="J1723" s="748" t="s">
        <v>4071</v>
      </c>
      <c r="K1723" s="748" t="s">
        <v>186</v>
      </c>
      <c r="M1723" s="748" t="s">
        <v>3571</v>
      </c>
      <c r="N1723" s="748" t="s">
        <v>824</v>
      </c>
      <c r="O1723" s="748" t="s">
        <v>487</v>
      </c>
      <c r="P1723" s="748" t="s">
        <v>1664</v>
      </c>
      <c r="ET1723" s="748" t="s">
        <v>2186</v>
      </c>
      <c r="EU1723" s="748" t="s">
        <v>3685</v>
      </c>
      <c r="EV1723" s="748" t="s">
        <v>3686</v>
      </c>
      <c r="EW1723" s="748" t="s">
        <v>3687</v>
      </c>
      <c r="EX1723" s="748" t="s">
        <v>3688</v>
      </c>
      <c r="EY1723" s="748" t="s">
        <v>3775</v>
      </c>
      <c r="EZ1723" s="748" t="s">
        <v>3775</v>
      </c>
      <c r="FA1723" s="748" t="s">
        <v>3775</v>
      </c>
      <c r="FB1723" s="748" t="s">
        <v>3775</v>
      </c>
      <c r="FC1723" s="748" t="s">
        <v>3775</v>
      </c>
      <c r="FD1723" s="748" t="s">
        <v>715</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5" customHeight="1">
      <c r="B1724" s="748" t="s">
        <v>1995</v>
      </c>
      <c r="C1724" s="748" t="s">
        <v>227</v>
      </c>
      <c r="D1724" s="748" t="s">
        <v>229</v>
      </c>
      <c r="E1724" s="748" t="s">
        <v>2210</v>
      </c>
      <c r="F1724" s="748" t="s">
        <v>1962</v>
      </c>
      <c r="G1724" s="748" t="s">
        <v>1963</v>
      </c>
      <c r="H1724" s="748" t="s">
        <v>3615</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2" customHeight="1">
      <c r="A1725" s="748" t="str">
        <f>IF(AND(E1725&gt;0,OR(B1725="",C1725="",D1725="",F1725="",G1725="", H1725="",M1725="",N1725="",O1725="")),1,"")</f>
        <v/>
      </c>
      <c r="B1725" s="748" t="str">
        <f>'Part VI-Revenues &amp; Expenses'!B10</f>
        <v>60% AMI</v>
      </c>
      <c r="C1725" s="748">
        <f>'Part VI-Revenues &amp; Expenses'!C10</f>
        <v>1</v>
      </c>
      <c r="D1725" s="748">
        <f>'Part VI-Revenues &amp; Expenses'!D10</f>
        <v>1</v>
      </c>
      <c r="E1725" s="748">
        <f>'Part VI-Revenues &amp; Expenses'!E10</f>
        <v>5</v>
      </c>
      <c r="F1725" s="748">
        <f>'Part VI-Revenues &amp; Expenses'!F10</f>
        <v>692</v>
      </c>
      <c r="G1725" s="748">
        <f>'Part VI-Revenues &amp; Expenses'!G10</f>
        <v>589</v>
      </c>
      <c r="H1725" s="748">
        <f>'Part VI-Revenues &amp; Expenses'!H10</f>
        <v>497</v>
      </c>
      <c r="I1725" s="748">
        <f>'Part VI-Revenues &amp; Expenses'!I10</f>
        <v>110</v>
      </c>
      <c r="J1725" s="748" t="str">
        <f>'Part VI-Revenues &amp; Expenses'!J10</f>
        <v>USDA</v>
      </c>
      <c r="K1725" s="748">
        <f>MAX(0,H1725-I1725)</f>
        <v>387</v>
      </c>
      <c r="L1725" s="748">
        <f t="shared" ref="L1725:L1762" si="99">MAX(0,E1725*K1725)</f>
        <v>1935</v>
      </c>
      <c r="M1725" s="748" t="str">
        <f>'Part VI-Revenues &amp; Expenses'!M10</f>
        <v>No</v>
      </c>
      <c r="N1725" s="748" t="str">
        <f>'Part VI-Revenues &amp; Expenses'!N10</f>
        <v>2-Story</v>
      </c>
      <c r="O1725" s="748" t="str">
        <f>'Part VI-Revenues &amp; Expenses'!O10</f>
        <v>Acquisition/Rehab</v>
      </c>
      <c r="P1725" s="748">
        <f>'Part VI-Revenues &amp; Expenses'!P10</f>
        <v>19880</v>
      </c>
      <c r="Q1725" s="748">
        <f>'Part VI-Revenues &amp; Expenses'!Q10</f>
        <v>0.51872146118721463</v>
      </c>
      <c r="R1725" s="748">
        <f>'Part VI-Revenues &amp; Expenses'!R10</f>
        <v>0</v>
      </c>
      <c r="T1725" s="748" t="str">
        <f t="shared" ref="T1725:T1762" si="100">IF(AND(C1725="Efficiency",B1725="60% AMI",NOT(M1725="Common")),E1725,"")</f>
        <v/>
      </c>
      <c r="U1725" s="748">
        <f t="shared" ref="U1725:U1762" si="101">IF(AND(C1725=1,B1725="60% AMI",NOT(M1725="Common")),E1725,"")</f>
        <v>5</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f>IF(OR(AND($C1725=1,NOT($J1725=""),NOT($J1725=0),NOT($J1725="PHA Oper Sub"),$B1725="60% AMI",NOT($M1725="Common")),AND($C1725=1,NOT($J1725=""),NOT($J1725=0),NOT($J1725="PHA Oper Sub"),$B1725="HOME 60% AMI",NOT($M1725="Common"))),$E1725,"")</f>
        <v>5</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f t="shared" ref="BX1725:BX1762" si="126">IF(OR(AND(C1725=1,B1725="60% AMI",NOT(M1725="Common")),AND(C1725=1,B1725="HOME 60% AMI",NOT(M1725="Common"))),E1725*F1725,"")</f>
        <v>3460</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3460</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5</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5</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5</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v>
      </c>
      <c r="F1726" s="748">
        <f>'Part VI-Revenues &amp; Expenses'!F11</f>
        <v>692</v>
      </c>
      <c r="G1726" s="748">
        <f>'Part VI-Revenues &amp; Expenses'!G11</f>
        <v>589</v>
      </c>
      <c r="H1726" s="748">
        <f>'Part VI-Revenues &amp; Expenses'!H11</f>
        <v>497</v>
      </c>
      <c r="I1726" s="748">
        <f>'Part VI-Revenues &amp; Expenses'!I11</f>
        <v>110</v>
      </c>
      <c r="J1726" s="748">
        <f>'Part VI-Revenues &amp; Expenses'!J11</f>
        <v>0</v>
      </c>
      <c r="K1726" s="748">
        <f t="shared" ref="K1726:K1742" si="271">MAX(0,H1726-I1726)</f>
        <v>387</v>
      </c>
      <c r="L1726" s="748">
        <f t="shared" si="99"/>
        <v>387</v>
      </c>
      <c r="M1726" s="748" t="str">
        <f>'Part VI-Revenues &amp; Expenses'!M11</f>
        <v>No</v>
      </c>
      <c r="N1726" s="748" t="str">
        <f>'Part VI-Revenues &amp; Expenses'!N11</f>
        <v>2-Story</v>
      </c>
      <c r="O1726" s="748" t="str">
        <f>'Part VI-Revenues &amp; Expenses'!O11</f>
        <v>Acquisition/Rehab</v>
      </c>
      <c r="P1726" s="748">
        <f>'Part VI-Revenues &amp; Expenses'!P11</f>
        <v>19880</v>
      </c>
      <c r="Q1726" s="748">
        <f>'Part VI-Revenues &amp; Expenses'!Q11</f>
        <v>0.51872146118721463</v>
      </c>
      <c r="R1726" s="748">
        <f>'Part VI-Revenues &amp; Expenses'!R11</f>
        <v>0</v>
      </c>
      <c r="T1726" s="748" t="str">
        <f t="shared" si="100"/>
        <v/>
      </c>
      <c r="U1726" s="748">
        <f t="shared" si="101"/>
        <v>1</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692</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1</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f t="shared" si="231"/>
        <v>1</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t="str">
        <f>'Part VI-Revenues &amp; Expenses'!B12</f>
        <v>60% AMI</v>
      </c>
      <c r="C1727" s="748">
        <f>'Part VI-Revenues &amp; Expenses'!C12</f>
        <v>1</v>
      </c>
      <c r="D1727" s="748">
        <f>'Part VI-Revenues &amp; Expenses'!D12</f>
        <v>1</v>
      </c>
      <c r="E1727" s="748">
        <f>'Part VI-Revenues &amp; Expenses'!E12</f>
        <v>4</v>
      </c>
      <c r="F1727" s="748">
        <f>'Part VI-Revenues &amp; Expenses'!F12</f>
        <v>718</v>
      </c>
      <c r="G1727" s="748">
        <f>'Part VI-Revenues &amp; Expenses'!G12</f>
        <v>589</v>
      </c>
      <c r="H1727" s="748">
        <f>'Part VI-Revenues &amp; Expenses'!H12</f>
        <v>497</v>
      </c>
      <c r="I1727" s="748">
        <f>'Part VI-Revenues &amp; Expenses'!I12</f>
        <v>110</v>
      </c>
      <c r="J1727" s="748" t="str">
        <f>'Part VI-Revenues &amp; Expenses'!J12</f>
        <v>USDA</v>
      </c>
      <c r="K1727" s="748">
        <f t="shared" si="271"/>
        <v>387</v>
      </c>
      <c r="L1727" s="748">
        <f t="shared" si="99"/>
        <v>1548</v>
      </c>
      <c r="M1727" s="748" t="str">
        <f>'Part VI-Revenues &amp; Expenses'!M12</f>
        <v>No</v>
      </c>
      <c r="N1727" s="748" t="str">
        <f>'Part VI-Revenues &amp; Expenses'!N12</f>
        <v>2-Story</v>
      </c>
      <c r="O1727" s="748" t="str">
        <f>'Part VI-Revenues &amp; Expenses'!O12</f>
        <v>Acquisition/Rehab</v>
      </c>
      <c r="P1727" s="748">
        <f>'Part VI-Revenues &amp; Expenses'!P12</f>
        <v>19880</v>
      </c>
      <c r="Q1727" s="748">
        <f>'Part VI-Revenues &amp; Expenses'!Q12</f>
        <v>0.51872146118721463</v>
      </c>
      <c r="R1727" s="748">
        <f>'Part VI-Revenues &amp; Expenses'!R12</f>
        <v>0</v>
      </c>
      <c r="T1727" s="748" t="str">
        <f t="shared" si="100"/>
        <v/>
      </c>
      <c r="U1727" s="748">
        <f t="shared" si="101"/>
        <v>4</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f t="shared" si="283"/>
        <v>4</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2872</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f t="shared" si="146"/>
        <v>2872</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4</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4</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f t="shared" si="231"/>
        <v>4</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t="str">
        <f>'Part VI-Revenues &amp; Expenses'!B13</f>
        <v>60% AMI</v>
      </c>
      <c r="C1728" s="748">
        <f>'Part VI-Revenues &amp; Expenses'!C13</f>
        <v>1</v>
      </c>
      <c r="D1728" s="748">
        <f>'Part VI-Revenues &amp; Expenses'!D13</f>
        <v>1</v>
      </c>
      <c r="E1728" s="748">
        <f>'Part VI-Revenues &amp; Expenses'!E13</f>
        <v>2</v>
      </c>
      <c r="F1728" s="748">
        <f>'Part VI-Revenues &amp; Expenses'!F13</f>
        <v>718</v>
      </c>
      <c r="G1728" s="748">
        <f>'Part VI-Revenues &amp; Expenses'!G13</f>
        <v>589</v>
      </c>
      <c r="H1728" s="748">
        <f>'Part VI-Revenues &amp; Expenses'!H13</f>
        <v>497</v>
      </c>
      <c r="I1728" s="748">
        <f>'Part VI-Revenues &amp; Expenses'!I13</f>
        <v>110</v>
      </c>
      <c r="J1728" s="748">
        <f>'Part VI-Revenues &amp; Expenses'!J13</f>
        <v>0</v>
      </c>
      <c r="K1728" s="748">
        <f t="shared" si="271"/>
        <v>387</v>
      </c>
      <c r="L1728" s="748">
        <f t="shared" si="99"/>
        <v>774</v>
      </c>
      <c r="M1728" s="748" t="str">
        <f>'Part VI-Revenues &amp; Expenses'!M13</f>
        <v>No</v>
      </c>
      <c r="N1728" s="748" t="str">
        <f>'Part VI-Revenues &amp; Expenses'!N13</f>
        <v>2-Story</v>
      </c>
      <c r="O1728" s="748" t="str">
        <f>'Part VI-Revenues &amp; Expenses'!O13</f>
        <v>Acquisition/Rehab</v>
      </c>
      <c r="P1728" s="748">
        <f>'Part VI-Revenues &amp; Expenses'!P13</f>
        <v>19880</v>
      </c>
      <c r="Q1728" s="748">
        <f>'Part VI-Revenues &amp; Expenses'!Q13</f>
        <v>0.51872146118721463</v>
      </c>
      <c r="R1728" s="748">
        <f>'Part VI-Revenues &amp; Expenses'!R13</f>
        <v>0</v>
      </c>
      <c r="T1728" s="748" t="str">
        <f t="shared" si="100"/>
        <v/>
      </c>
      <c r="U1728" s="748">
        <f t="shared" si="101"/>
        <v>2</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1436</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f t="shared" si="171"/>
        <v>2</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2</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f t="shared" si="231"/>
        <v>2</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t="str">
        <f>'Part VI-Revenues &amp; Expenses'!B14</f>
        <v>60% AMI</v>
      </c>
      <c r="C1729" s="748">
        <f>'Part VI-Revenues &amp; Expenses'!C14</f>
        <v>2</v>
      </c>
      <c r="D1729" s="748">
        <f>'Part VI-Revenues &amp; Expenses'!D14</f>
        <v>1</v>
      </c>
      <c r="E1729" s="748">
        <f>'Part VI-Revenues &amp; Expenses'!E14</f>
        <v>10</v>
      </c>
      <c r="F1729" s="748">
        <f>'Part VI-Revenues &amp; Expenses'!F14</f>
        <v>855</v>
      </c>
      <c r="G1729" s="748">
        <f>'Part VI-Revenues &amp; Expenses'!G14</f>
        <v>706</v>
      </c>
      <c r="H1729" s="748">
        <f>'Part VI-Revenues &amp; Expenses'!H14</f>
        <v>537</v>
      </c>
      <c r="I1729" s="748">
        <f>'Part VI-Revenues &amp; Expenses'!I14</f>
        <v>134</v>
      </c>
      <c r="J1729" s="748" t="str">
        <f>'Part VI-Revenues &amp; Expenses'!J14</f>
        <v>USDA</v>
      </c>
      <c r="K1729" s="748">
        <f t="shared" si="271"/>
        <v>403</v>
      </c>
      <c r="L1729" s="748">
        <f t="shared" si="99"/>
        <v>4030</v>
      </c>
      <c r="M1729" s="748" t="str">
        <f>'Part VI-Revenues &amp; Expenses'!M14</f>
        <v>No</v>
      </c>
      <c r="N1729" s="748" t="str">
        <f>'Part VI-Revenues &amp; Expenses'!N14</f>
        <v>2-Story</v>
      </c>
      <c r="O1729" s="748" t="str">
        <f>'Part VI-Revenues &amp; Expenses'!O14</f>
        <v>Acquisition/Rehab</v>
      </c>
      <c r="P1729" s="748">
        <f>'Part VI-Revenues &amp; Expenses'!P14</f>
        <v>21480</v>
      </c>
      <c r="Q1729" s="748">
        <f>'Part VI-Revenues &amp; Expenses'!Q14</f>
        <v>0.46705805609915196</v>
      </c>
      <c r="R1729" s="748">
        <f>'Part VI-Revenues &amp; Expenses'!R14</f>
        <v>0</v>
      </c>
      <c r="T1729" s="748" t="str">
        <f t="shared" si="100"/>
        <v/>
      </c>
      <c r="U1729" s="748" t="str">
        <f t="shared" si="101"/>
        <v/>
      </c>
      <c r="V1729" s="748">
        <f t="shared" si="102"/>
        <v>10</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f t="shared" si="284"/>
        <v>10</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8550</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f t="shared" si="147"/>
        <v>8550</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f t="shared" si="172"/>
        <v>10</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10</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f t="shared" si="232"/>
        <v>10</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t="str">
        <f>'Part VI-Revenues &amp; Expenses'!B15</f>
        <v>60% AMI</v>
      </c>
      <c r="C1730" s="748">
        <f>'Part VI-Revenues &amp; Expenses'!C15</f>
        <v>2</v>
      </c>
      <c r="D1730" s="748">
        <f>'Part VI-Revenues &amp; Expenses'!D15</f>
        <v>1</v>
      </c>
      <c r="E1730" s="748">
        <f>'Part VI-Revenues &amp; Expenses'!E15</f>
        <v>4</v>
      </c>
      <c r="F1730" s="748">
        <f>'Part VI-Revenues &amp; Expenses'!F15</f>
        <v>855</v>
      </c>
      <c r="G1730" s="748">
        <f>'Part VI-Revenues &amp; Expenses'!G15</f>
        <v>706</v>
      </c>
      <c r="H1730" s="748">
        <f>'Part VI-Revenues &amp; Expenses'!H15</f>
        <v>537</v>
      </c>
      <c r="I1730" s="748">
        <f>'Part VI-Revenues &amp; Expenses'!I15</f>
        <v>134</v>
      </c>
      <c r="J1730" s="748">
        <f>'Part VI-Revenues &amp; Expenses'!J15</f>
        <v>0</v>
      </c>
      <c r="K1730" s="748">
        <f t="shared" si="271"/>
        <v>403</v>
      </c>
      <c r="L1730" s="748">
        <f t="shared" si="99"/>
        <v>1612</v>
      </c>
      <c r="M1730" s="748" t="str">
        <f>'Part VI-Revenues &amp; Expenses'!M15</f>
        <v>No</v>
      </c>
      <c r="N1730" s="748" t="str">
        <f>'Part VI-Revenues &amp; Expenses'!N15</f>
        <v>2-Story</v>
      </c>
      <c r="O1730" s="748" t="str">
        <f>'Part VI-Revenues &amp; Expenses'!O15</f>
        <v>Acquisition/Rehab</v>
      </c>
      <c r="P1730" s="748">
        <f>'Part VI-Revenues &amp; Expenses'!P15</f>
        <v>21480</v>
      </c>
      <c r="Q1730" s="748">
        <f>'Part VI-Revenues &amp; Expenses'!Q15</f>
        <v>0.46705805609915196</v>
      </c>
      <c r="R1730" s="748">
        <f>'Part VI-Revenues &amp; Expenses'!R15</f>
        <v>0</v>
      </c>
      <c r="T1730" s="748" t="str">
        <f t="shared" si="100"/>
        <v/>
      </c>
      <c r="U1730" s="748" t="str">
        <f t="shared" si="101"/>
        <v/>
      </c>
      <c r="V1730" s="748">
        <f t="shared" si="102"/>
        <v>4</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3420</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f t="shared" si="172"/>
        <v>4</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4</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f t="shared" si="232"/>
        <v>4</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t="str">
        <f>'Part VI-Revenues &amp; Expenses'!B16</f>
        <v>60% AMI</v>
      </c>
      <c r="C1731" s="748">
        <f>'Part VI-Revenues &amp; Expenses'!C16</f>
        <v>2</v>
      </c>
      <c r="D1731" s="748">
        <f>'Part VI-Revenues &amp; Expenses'!D16</f>
        <v>1</v>
      </c>
      <c r="E1731" s="748">
        <f>'Part VI-Revenues &amp; Expenses'!E16</f>
        <v>11</v>
      </c>
      <c r="F1731" s="748">
        <f>'Part VI-Revenues &amp; Expenses'!F16</f>
        <v>883</v>
      </c>
      <c r="G1731" s="748">
        <f>'Part VI-Revenues &amp; Expenses'!G16</f>
        <v>706</v>
      </c>
      <c r="H1731" s="748">
        <f>'Part VI-Revenues &amp; Expenses'!H16</f>
        <v>537</v>
      </c>
      <c r="I1731" s="748">
        <f>'Part VI-Revenues &amp; Expenses'!I16</f>
        <v>134</v>
      </c>
      <c r="J1731" s="748" t="str">
        <f>'Part VI-Revenues &amp; Expenses'!J16</f>
        <v>USDA</v>
      </c>
      <c r="K1731" s="748">
        <f t="shared" si="271"/>
        <v>403</v>
      </c>
      <c r="L1731" s="748">
        <f t="shared" si="99"/>
        <v>4433</v>
      </c>
      <c r="M1731" s="748" t="str">
        <f>'Part VI-Revenues &amp; Expenses'!M16</f>
        <v>No</v>
      </c>
      <c r="N1731" s="748" t="str">
        <f>'Part VI-Revenues &amp; Expenses'!N16</f>
        <v>2-Story</v>
      </c>
      <c r="O1731" s="748" t="str">
        <f>'Part VI-Revenues &amp; Expenses'!O16</f>
        <v>Acquisition/Rehab</v>
      </c>
      <c r="P1731" s="748">
        <f>'Part VI-Revenues &amp; Expenses'!P16</f>
        <v>21480</v>
      </c>
      <c r="Q1731" s="748">
        <f>'Part VI-Revenues &amp; Expenses'!Q16</f>
        <v>0.46705805609915196</v>
      </c>
      <c r="R1731" s="748">
        <f>'Part VI-Revenues &amp; Expenses'!R16</f>
        <v>0</v>
      </c>
      <c r="T1731" s="748" t="str">
        <f t="shared" si="100"/>
        <v/>
      </c>
      <c r="U1731" s="748" t="str">
        <f t="shared" si="101"/>
        <v/>
      </c>
      <c r="V1731" s="748">
        <f t="shared" si="102"/>
        <v>11</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f t="shared" si="284"/>
        <v>11</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f t="shared" si="127"/>
        <v>9713</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f t="shared" si="147"/>
        <v>9713</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f t="shared" si="172"/>
        <v>11</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f t="shared" si="202"/>
        <v>11</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f t="shared" si="232"/>
        <v>11</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t="str">
        <f>'Part VI-Revenues &amp; Expenses'!B17</f>
        <v>60% AMI</v>
      </c>
      <c r="C1732" s="748">
        <f>'Part VI-Revenues &amp; Expenses'!C17</f>
        <v>2</v>
      </c>
      <c r="D1732" s="748">
        <f>'Part VI-Revenues &amp; Expenses'!D17</f>
        <v>1</v>
      </c>
      <c r="E1732" s="748">
        <f>'Part VI-Revenues &amp; Expenses'!E17</f>
        <v>3</v>
      </c>
      <c r="F1732" s="748">
        <f>'Part VI-Revenues &amp; Expenses'!F17</f>
        <v>883</v>
      </c>
      <c r="G1732" s="748">
        <f>'Part VI-Revenues &amp; Expenses'!G17</f>
        <v>706</v>
      </c>
      <c r="H1732" s="748">
        <f>'Part VI-Revenues &amp; Expenses'!H17</f>
        <v>537</v>
      </c>
      <c r="I1732" s="748">
        <f>'Part VI-Revenues &amp; Expenses'!I17</f>
        <v>134</v>
      </c>
      <c r="J1732" s="748">
        <f>'Part VI-Revenues &amp; Expenses'!J17</f>
        <v>0</v>
      </c>
      <c r="K1732" s="748">
        <f t="shared" si="271"/>
        <v>403</v>
      </c>
      <c r="L1732" s="748">
        <f t="shared" si="99"/>
        <v>1209</v>
      </c>
      <c r="M1732" s="748" t="str">
        <f>'Part VI-Revenues &amp; Expenses'!M17</f>
        <v>No</v>
      </c>
      <c r="N1732" s="748" t="str">
        <f>'Part VI-Revenues &amp; Expenses'!N17</f>
        <v>2-Story</v>
      </c>
      <c r="O1732" s="748" t="str">
        <f>'Part VI-Revenues &amp; Expenses'!O17</f>
        <v>Acquisition/Rehab</v>
      </c>
      <c r="P1732" s="748">
        <f>'Part VI-Revenues &amp; Expenses'!P17</f>
        <v>21480</v>
      </c>
      <c r="Q1732" s="748">
        <f>'Part VI-Revenues &amp; Expenses'!Q17</f>
        <v>0.46705805609915196</v>
      </c>
      <c r="R1732" s="748">
        <f>'Part VI-Revenues &amp; Expenses'!R17</f>
        <v>0</v>
      </c>
      <c r="T1732" s="748" t="str">
        <f t="shared" si="100"/>
        <v/>
      </c>
      <c r="U1732" s="748" t="str">
        <f t="shared" si="101"/>
        <v/>
      </c>
      <c r="V1732" s="748">
        <f t="shared" si="102"/>
        <v>3</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f t="shared" si="127"/>
        <v>2649</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f t="shared" si="172"/>
        <v>3</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f t="shared" si="202"/>
        <v>3</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f t="shared" si="232"/>
        <v>3</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t="str">
        <f>'Part VI-Revenues &amp; Expenses'!B18</f>
        <v>50% AMI</v>
      </c>
      <c r="C1733" s="748">
        <f>'Part VI-Revenues &amp; Expenses'!C18</f>
        <v>1</v>
      </c>
      <c r="D1733" s="748">
        <f>'Part VI-Revenues &amp; Expenses'!D18</f>
        <v>1</v>
      </c>
      <c r="E1733" s="748">
        <f>'Part VI-Revenues &amp; Expenses'!E18</f>
        <v>2</v>
      </c>
      <c r="F1733" s="748">
        <f>'Part VI-Revenues &amp; Expenses'!F18</f>
        <v>692</v>
      </c>
      <c r="G1733" s="748">
        <f>'Part VI-Revenues &amp; Expenses'!G18</f>
        <v>491</v>
      </c>
      <c r="H1733" s="748">
        <f>'Part VI-Revenues &amp; Expenses'!H18</f>
        <v>497</v>
      </c>
      <c r="I1733" s="748">
        <f>'Part VI-Revenues &amp; Expenses'!I18</f>
        <v>110</v>
      </c>
      <c r="J1733" s="748" t="str">
        <f>'Part VI-Revenues &amp; Expenses'!J18</f>
        <v>USDA</v>
      </c>
      <c r="K1733" s="748">
        <f t="shared" si="271"/>
        <v>387</v>
      </c>
      <c r="L1733" s="748">
        <f t="shared" si="99"/>
        <v>774</v>
      </c>
      <c r="M1733" s="748" t="str">
        <f>'Part VI-Revenues &amp; Expenses'!M18</f>
        <v>No</v>
      </c>
      <c r="N1733" s="748" t="str">
        <f>'Part VI-Revenues &amp; Expenses'!N18</f>
        <v>2-Story</v>
      </c>
      <c r="O1733" s="748" t="str">
        <f>'Part VI-Revenues &amp; Expenses'!O18</f>
        <v>Acquisition/Rehab</v>
      </c>
      <c r="P1733" s="748">
        <f>'Part VI-Revenues &amp; Expenses'!P18</f>
        <v>19880</v>
      </c>
      <c r="Q1733" s="748">
        <f>'Part VI-Revenues &amp; Expenses'!Q18</f>
        <v>0.51872146118721463</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f t="shared" si="106"/>
        <v>2</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f t="shared" si="278"/>
        <v>2</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f t="shared" si="131"/>
        <v>1384</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f t="shared" si="146"/>
        <v>1384</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f t="shared" si="171"/>
        <v>2</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f t="shared" si="201"/>
        <v>2</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f t="shared" si="231"/>
        <v>2</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t="str">
        <f>'Part VI-Revenues &amp; Expenses'!B19</f>
        <v>50% AMI</v>
      </c>
      <c r="C1734" s="748">
        <f>'Part VI-Revenues &amp; Expenses'!C19</f>
        <v>1</v>
      </c>
      <c r="D1734" s="748">
        <f>'Part VI-Revenues &amp; Expenses'!D19</f>
        <v>1</v>
      </c>
      <c r="E1734" s="748">
        <f>'Part VI-Revenues &amp; Expenses'!E19</f>
        <v>2</v>
      </c>
      <c r="F1734" s="748">
        <f>'Part VI-Revenues &amp; Expenses'!F19</f>
        <v>718</v>
      </c>
      <c r="G1734" s="748">
        <f>'Part VI-Revenues &amp; Expenses'!G19</f>
        <v>491</v>
      </c>
      <c r="H1734" s="748">
        <f>'Part VI-Revenues &amp; Expenses'!H19</f>
        <v>497</v>
      </c>
      <c r="I1734" s="748">
        <f>'Part VI-Revenues &amp; Expenses'!I19</f>
        <v>110</v>
      </c>
      <c r="J1734" s="748" t="str">
        <f>'Part VI-Revenues &amp; Expenses'!J19</f>
        <v>USDA</v>
      </c>
      <c r="K1734" s="748">
        <f t="shared" si="271"/>
        <v>387</v>
      </c>
      <c r="L1734" s="748">
        <f t="shared" si="99"/>
        <v>774</v>
      </c>
      <c r="M1734" s="748" t="str">
        <f>'Part VI-Revenues &amp; Expenses'!M19</f>
        <v>No</v>
      </c>
      <c r="N1734" s="748" t="str">
        <f>'Part VI-Revenues &amp; Expenses'!N19</f>
        <v>2-Story</v>
      </c>
      <c r="O1734" s="748" t="str">
        <f>'Part VI-Revenues &amp; Expenses'!O19</f>
        <v>Acquisition/Rehab</v>
      </c>
      <c r="P1734" s="748">
        <f>'Part VI-Revenues &amp; Expenses'!P19</f>
        <v>19880</v>
      </c>
      <c r="Q1734" s="748">
        <f>'Part VI-Revenues &amp; Expenses'!Q19</f>
        <v>0.51872146118721463</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f t="shared" si="106"/>
        <v>2</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f t="shared" si="278"/>
        <v>2</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f t="shared" si="131"/>
        <v>1436</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f t="shared" si="146"/>
        <v>1436</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f t="shared" si="171"/>
        <v>2</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f t="shared" si="201"/>
        <v>2</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f t="shared" si="231"/>
        <v>2</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t="str">
        <f>'Part VI-Revenues &amp; Expenses'!B20</f>
        <v>50% AMI</v>
      </c>
      <c r="C1735" s="748">
        <f>'Part VI-Revenues &amp; Expenses'!C20</f>
        <v>2</v>
      </c>
      <c r="D1735" s="748">
        <f>'Part VI-Revenues &amp; Expenses'!D20</f>
        <v>1</v>
      </c>
      <c r="E1735" s="748">
        <f>'Part VI-Revenues &amp; Expenses'!E20</f>
        <v>2</v>
      </c>
      <c r="F1735" s="748">
        <f>'Part VI-Revenues &amp; Expenses'!F20</f>
        <v>855</v>
      </c>
      <c r="G1735" s="748">
        <f>'Part VI-Revenues &amp; Expenses'!G20</f>
        <v>588</v>
      </c>
      <c r="H1735" s="748">
        <f>'Part VI-Revenues &amp; Expenses'!H20</f>
        <v>537</v>
      </c>
      <c r="I1735" s="748">
        <f>'Part VI-Revenues &amp; Expenses'!I20</f>
        <v>134</v>
      </c>
      <c r="J1735" s="748" t="str">
        <f>'Part VI-Revenues &amp; Expenses'!J20</f>
        <v>USDA</v>
      </c>
      <c r="K1735" s="748">
        <f t="shared" si="271"/>
        <v>403</v>
      </c>
      <c r="L1735" s="748">
        <f t="shared" si="99"/>
        <v>806</v>
      </c>
      <c r="M1735" s="748" t="str">
        <f>'Part VI-Revenues &amp; Expenses'!M20</f>
        <v>No</v>
      </c>
      <c r="N1735" s="748" t="str">
        <f>'Part VI-Revenues &amp; Expenses'!N20</f>
        <v>2-Story</v>
      </c>
      <c r="O1735" s="748" t="str">
        <f>'Part VI-Revenues &amp; Expenses'!O20</f>
        <v>Acquisition/Rehab</v>
      </c>
      <c r="P1735" s="748">
        <f>'Part VI-Revenues &amp; Expenses'!P20</f>
        <v>21480</v>
      </c>
      <c r="Q1735" s="748">
        <f>'Part VI-Revenues &amp; Expenses'!Q20</f>
        <v>0.46705805609915196</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f t="shared" si="107"/>
        <v>2</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f t="shared" si="279"/>
        <v>2</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f t="shared" si="132"/>
        <v>1710</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f t="shared" si="147"/>
        <v>1710</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f t="shared" si="172"/>
        <v>2</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f t="shared" si="202"/>
        <v>2</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f t="shared" si="232"/>
        <v>2</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t="str">
        <f>'Part VI-Revenues &amp; Expenses'!B21</f>
        <v>50% AMI</v>
      </c>
      <c r="C1736" s="748">
        <f>'Part VI-Revenues &amp; Expenses'!C21</f>
        <v>2</v>
      </c>
      <c r="D1736" s="748">
        <f>'Part VI-Revenues &amp; Expenses'!D21</f>
        <v>1</v>
      </c>
      <c r="E1736" s="748">
        <f>'Part VI-Revenues &amp; Expenses'!E21</f>
        <v>2</v>
      </c>
      <c r="F1736" s="748">
        <f>'Part VI-Revenues &amp; Expenses'!F21</f>
        <v>883</v>
      </c>
      <c r="G1736" s="748">
        <f>'Part VI-Revenues &amp; Expenses'!G21</f>
        <v>588</v>
      </c>
      <c r="H1736" s="748">
        <f>'Part VI-Revenues &amp; Expenses'!H21</f>
        <v>537</v>
      </c>
      <c r="I1736" s="748">
        <f>'Part VI-Revenues &amp; Expenses'!I21</f>
        <v>134</v>
      </c>
      <c r="J1736" s="748" t="str">
        <f>'Part VI-Revenues &amp; Expenses'!J21</f>
        <v>USDA</v>
      </c>
      <c r="K1736" s="748">
        <f t="shared" si="271"/>
        <v>403</v>
      </c>
      <c r="L1736" s="748">
        <f t="shared" si="99"/>
        <v>806</v>
      </c>
      <c r="M1736" s="748" t="str">
        <f>'Part VI-Revenues &amp; Expenses'!M21</f>
        <v>No</v>
      </c>
      <c r="N1736" s="748" t="str">
        <f>'Part VI-Revenues &amp; Expenses'!N21</f>
        <v>2-Story</v>
      </c>
      <c r="O1736" s="748" t="str">
        <f>'Part VI-Revenues &amp; Expenses'!O21</f>
        <v>Acquisition/Rehab</v>
      </c>
      <c r="P1736" s="748">
        <f>'Part VI-Revenues &amp; Expenses'!P21</f>
        <v>21480</v>
      </c>
      <c r="Q1736" s="748">
        <f>'Part VI-Revenues &amp; Expenses'!Q21</f>
        <v>0.46705805609915196</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f t="shared" si="107"/>
        <v>2</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f t="shared" si="279"/>
        <v>2</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f t="shared" si="132"/>
        <v>1766</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f t="shared" si="147"/>
        <v>1766</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f t="shared" si="172"/>
        <v>2</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f t="shared" si="202"/>
        <v>2</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f t="shared" si="232"/>
        <v>2</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t="str">
        <f>'Part VI-Revenues &amp; Expenses'!B22</f>
        <v>N/A-CS</v>
      </c>
      <c r="C1737" s="748">
        <f>'Part VI-Revenues &amp; Expenses'!C22</f>
        <v>2</v>
      </c>
      <c r="D1737" s="748">
        <f>'Part VI-Revenues &amp; Expenses'!D22</f>
        <v>1</v>
      </c>
      <c r="E1737" s="748">
        <f>'Part VI-Revenues &amp; Expenses'!E22</f>
        <v>1</v>
      </c>
      <c r="F1737" s="748">
        <f>'Part VI-Revenues &amp; Expenses'!F22</f>
        <v>899</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t="str">
        <f>'Part VI-Revenues &amp; Expenses'!M22</f>
        <v>Common</v>
      </c>
      <c r="N1737" s="748" t="str">
        <f>'Part VI-Revenues &amp; Expenses'!N22</f>
        <v>1-Story</v>
      </c>
      <c r="O1737" s="748" t="str">
        <f>'Part VI-Revenues &amp; Expenses'!O22</f>
        <v>Acquisition/Rehab</v>
      </c>
      <c r="P1737" s="748">
        <f>'Part VI-Revenues &amp; Expenses'!P22</f>
        <v>0</v>
      </c>
      <c r="Q1737" s="748">
        <f>'Part VI-Revenues &amp; Expenses'!Q22</f>
        <v>0</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f t="shared" si="122"/>
        <v>1</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f t="shared" si="152"/>
        <v>899</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f t="shared" si="182"/>
        <v>1</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f t="shared" si="202"/>
        <v>1</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f t="shared" si="227"/>
        <v>1</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1633</v>
      </c>
      <c r="E1763" s="748">
        <f>SUM(E1725:E1762)</f>
        <v>49</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39987</v>
      </c>
      <c r="K1763" s="748" t="s">
        <v>2001</v>
      </c>
      <c r="L1763" s="748">
        <f>SUM(L1725:L1762)</f>
        <v>19088</v>
      </c>
      <c r="T1763" s="748">
        <f t="shared" ref="T1763:CE1763" si="304">SUM(T1725:T1762)</f>
        <v>0</v>
      </c>
      <c r="U1763" s="748">
        <f t="shared" si="304"/>
        <v>12</v>
      </c>
      <c r="V1763" s="748">
        <f t="shared" si="304"/>
        <v>28</v>
      </c>
      <c r="W1763" s="748">
        <f t="shared" si="304"/>
        <v>0</v>
      </c>
      <c r="X1763" s="748">
        <f t="shared" si="304"/>
        <v>0</v>
      </c>
      <c r="Y1763" s="748">
        <f t="shared" si="304"/>
        <v>0</v>
      </c>
      <c r="Z1763" s="748">
        <f t="shared" si="304"/>
        <v>4</v>
      </c>
      <c r="AA1763" s="748">
        <f t="shared" si="304"/>
        <v>4</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4</v>
      </c>
      <c r="AU1763" s="748">
        <f t="shared" si="304"/>
        <v>4</v>
      </c>
      <c r="AV1763" s="748">
        <f t="shared" si="304"/>
        <v>0</v>
      </c>
      <c r="AW1763" s="748">
        <f t="shared" si="304"/>
        <v>0</v>
      </c>
      <c r="AX1763" s="748">
        <f t="shared" si="304"/>
        <v>0</v>
      </c>
      <c r="AY1763" s="748">
        <f t="shared" si="304"/>
        <v>9</v>
      </c>
      <c r="AZ1763" s="748">
        <f t="shared" si="304"/>
        <v>21</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1</v>
      </c>
      <c r="BU1763" s="748">
        <f t="shared" si="304"/>
        <v>0</v>
      </c>
      <c r="BV1763" s="748">
        <f t="shared" si="304"/>
        <v>0</v>
      </c>
      <c r="BW1763" s="748">
        <f t="shared" si="304"/>
        <v>0</v>
      </c>
      <c r="BX1763" s="748">
        <f t="shared" si="304"/>
        <v>8460</v>
      </c>
      <c r="BY1763" s="748">
        <f t="shared" si="304"/>
        <v>24332</v>
      </c>
      <c r="BZ1763" s="748">
        <f t="shared" si="304"/>
        <v>0</v>
      </c>
      <c r="CA1763" s="748">
        <f t="shared" si="304"/>
        <v>0</v>
      </c>
      <c r="CB1763" s="748">
        <f t="shared" si="304"/>
        <v>0</v>
      </c>
      <c r="CC1763" s="748">
        <f t="shared" si="304"/>
        <v>2820</v>
      </c>
      <c r="CD1763" s="748">
        <f t="shared" si="304"/>
        <v>3476</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9152</v>
      </c>
      <c r="CS1763" s="748">
        <f t="shared" si="305"/>
        <v>21739</v>
      </c>
      <c r="CT1763" s="748">
        <f t="shared" si="305"/>
        <v>0</v>
      </c>
      <c r="CU1763" s="748">
        <f t="shared" si="305"/>
        <v>0</v>
      </c>
      <c r="CV1763" s="748">
        <f t="shared" si="305"/>
        <v>0</v>
      </c>
      <c r="CW1763" s="748">
        <f t="shared" si="305"/>
        <v>0</v>
      </c>
      <c r="CX1763" s="748">
        <f t="shared" si="305"/>
        <v>899</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16</v>
      </c>
      <c r="DR1763" s="748">
        <f t="shared" si="305"/>
        <v>32</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1</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33</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1</v>
      </c>
      <c r="FV1763" s="748">
        <f t="shared" si="306"/>
        <v>0</v>
      </c>
      <c r="FW1763" s="748">
        <f t="shared" si="306"/>
        <v>0</v>
      </c>
      <c r="FX1763" s="748">
        <f t="shared" si="306"/>
        <v>0</v>
      </c>
      <c r="FY1763" s="748">
        <f t="shared" si="306"/>
        <v>16</v>
      </c>
      <c r="FZ1763" s="748">
        <f t="shared" si="306"/>
        <v>32</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1395</v>
      </c>
      <c r="L1764" s="748">
        <f>L1763*12</f>
        <v>229056</v>
      </c>
    </row>
    <row r="1765" spans="1:219" ht="6" customHeight="1"/>
    <row r="1766" spans="1:219" ht="14.4" customHeight="1">
      <c r="A1766" s="748" t="s">
        <v>4072</v>
      </c>
    </row>
    <row r="1767" spans="1:219" ht="14.4" customHeight="1"/>
    <row r="1768" spans="1:219" ht="2.4" customHeight="1"/>
    <row r="1769" spans="1:219" ht="14.4" customHeight="1">
      <c r="A1769" s="748" t="s">
        <v>1228</v>
      </c>
      <c r="B1769" s="748" t="s">
        <v>826</v>
      </c>
      <c r="Q1769" s="748" t="str">
        <f>IF(SUM(Q1772:Q1813)&gt;0,"ERROR Between Rent Schedule &amp; Unit Summary:", "")</f>
        <v/>
      </c>
      <c r="R1769" s="748" t="s">
        <v>1228</v>
      </c>
      <c r="S1769" s="748" t="s">
        <v>826</v>
      </c>
    </row>
    <row r="1770" spans="1:219" ht="3" customHeight="1"/>
    <row r="1771" spans="1:219" ht="14.4"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12</v>
      </c>
      <c r="J1772" s="748">
        <f>V1763</f>
        <v>28</v>
      </c>
      <c r="K1772" s="748">
        <f>W1763</f>
        <v>0</v>
      </c>
      <c r="L1772" s="748">
        <f>X1763</f>
        <v>0</v>
      </c>
      <c r="M1772" s="748">
        <f t="shared" ref="M1772:M1778" si="308">SUM(H1772:L1772)</f>
        <v>40</v>
      </c>
      <c r="N1772" s="748" t="s">
        <v>1482</v>
      </c>
      <c r="Q1772" s="748">
        <f t="shared" ref="Q1772:Q1778" si="309">ABS(M1772-AD1772)</f>
        <v>0</v>
      </c>
      <c r="T1772" s="748" t="s">
        <v>1777</v>
      </c>
      <c r="X1772" s="748" t="s">
        <v>1790</v>
      </c>
      <c r="Y1772" s="748">
        <f>T1763</f>
        <v>0</v>
      </c>
      <c r="Z1772" s="748">
        <f>U1763</f>
        <v>12</v>
      </c>
      <c r="AA1772" s="748">
        <f>V1763</f>
        <v>28</v>
      </c>
      <c r="AB1772" s="748">
        <f>W1763</f>
        <v>0</v>
      </c>
      <c r="AC1772" s="748">
        <f>X1763</f>
        <v>0</v>
      </c>
      <c r="AD1772" s="748">
        <f t="shared" ref="AD1772:AD1778" si="310">SUM(Y1772:AC1772)</f>
        <v>40</v>
      </c>
      <c r="AE1772" s="748" t="s">
        <v>1554</v>
      </c>
    </row>
    <row r="1773" spans="1:219" ht="15" customHeight="1">
      <c r="A1773" s="748" t="s">
        <v>652</v>
      </c>
      <c r="G1773" s="748" t="s">
        <v>133</v>
      </c>
      <c r="H1773" s="748">
        <f>Y1763</f>
        <v>0</v>
      </c>
      <c r="I1773" s="748">
        <f>Z1763</f>
        <v>4</v>
      </c>
      <c r="J1773" s="748">
        <f>AA1763</f>
        <v>4</v>
      </c>
      <c r="K1773" s="748">
        <f>AB1763</f>
        <v>0</v>
      </c>
      <c r="L1773" s="748">
        <f>AC1763</f>
        <v>0</v>
      </c>
      <c r="M1773" s="748">
        <f t="shared" si="308"/>
        <v>8</v>
      </c>
      <c r="Q1773" s="748">
        <f t="shared" si="309"/>
        <v>0</v>
      </c>
      <c r="X1773" s="748" t="s">
        <v>133</v>
      </c>
      <c r="Y1773" s="748">
        <f>Y1763</f>
        <v>0</v>
      </c>
      <c r="Z1773" s="748">
        <f>Z1763</f>
        <v>4</v>
      </c>
      <c r="AA1773" s="748">
        <f>AA1763</f>
        <v>4</v>
      </c>
      <c r="AB1773" s="748">
        <f>AB1763</f>
        <v>0</v>
      </c>
      <c r="AC1773" s="748">
        <f>AC1763</f>
        <v>0</v>
      </c>
      <c r="AD1773" s="748">
        <f t="shared" si="310"/>
        <v>8</v>
      </c>
    </row>
    <row r="1774" spans="1:219" ht="15" customHeight="1">
      <c r="G1774" s="748" t="s">
        <v>831</v>
      </c>
      <c r="H1774" s="748">
        <f>SUM(H1772:H1773)</f>
        <v>0</v>
      </c>
      <c r="I1774" s="748">
        <f>SUM(I1772:I1773)</f>
        <v>16</v>
      </c>
      <c r="J1774" s="748">
        <f>SUM(J1772:J1773)</f>
        <v>32</v>
      </c>
      <c r="K1774" s="748">
        <f>SUM(K1772:K1773)</f>
        <v>0</v>
      </c>
      <c r="L1774" s="748">
        <f>SUM(L1772:L1773)</f>
        <v>0</v>
      </c>
      <c r="M1774" s="748">
        <f t="shared" si="308"/>
        <v>48</v>
      </c>
      <c r="Q1774" s="748">
        <f t="shared" si="309"/>
        <v>0</v>
      </c>
      <c r="X1774" s="748" t="s">
        <v>831</v>
      </c>
      <c r="Y1774" s="748">
        <f>SUM(Y1772:Y1773)</f>
        <v>0</v>
      </c>
      <c r="Z1774" s="748">
        <f>SUM(Z1772:Z1773)</f>
        <v>16</v>
      </c>
      <c r="AA1774" s="748">
        <f>SUM(AA1772:AA1773)</f>
        <v>32</v>
      </c>
      <c r="AB1774" s="748">
        <f>SUM(AB1772:AB1773)</f>
        <v>0</v>
      </c>
      <c r="AC1774" s="748">
        <f>SUM(AC1772:AC1773)</f>
        <v>0</v>
      </c>
      <c r="AD1774" s="748">
        <f t="shared" si="310"/>
        <v>48</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16</v>
      </c>
      <c r="J1776" s="748">
        <f>SUM(J1774:J1775)</f>
        <v>32</v>
      </c>
      <c r="K1776" s="748">
        <f>SUM(K1774:K1775)</f>
        <v>0</v>
      </c>
      <c r="L1776" s="748">
        <f>SUM(L1774:L1775)</f>
        <v>0</v>
      </c>
      <c r="M1776" s="748">
        <f t="shared" si="308"/>
        <v>48</v>
      </c>
      <c r="Q1776" s="748">
        <f t="shared" si="309"/>
        <v>0</v>
      </c>
      <c r="T1776" s="748" t="s">
        <v>1778</v>
      </c>
      <c r="Y1776" s="748">
        <f>SUM(Y1774:Y1775)</f>
        <v>0</v>
      </c>
      <c r="Z1776" s="748">
        <f>SUM(Z1774:Z1775)</f>
        <v>16</v>
      </c>
      <c r="AA1776" s="748">
        <f>SUM(AA1774:AA1775)</f>
        <v>32</v>
      </c>
      <c r="AB1776" s="748">
        <f>SUM(AB1774:AB1775)</f>
        <v>0</v>
      </c>
      <c r="AC1776" s="748">
        <f>SUM(AC1774:AC1775)</f>
        <v>0</v>
      </c>
      <c r="AD1776" s="748">
        <f t="shared" si="310"/>
        <v>48</v>
      </c>
    </row>
    <row r="1777" spans="3:31" ht="15" customHeight="1">
      <c r="C1777" s="748" t="s">
        <v>3796</v>
      </c>
      <c r="H1777" s="748">
        <f>BR1763</f>
        <v>0</v>
      </c>
      <c r="I1777" s="748">
        <f>BS1763</f>
        <v>0</v>
      </c>
      <c r="J1777" s="748">
        <f>BT1763</f>
        <v>1</v>
      </c>
      <c r="K1777" s="748">
        <f>BU1763</f>
        <v>0</v>
      </c>
      <c r="L1777" s="748">
        <f>BV1763</f>
        <v>0</v>
      </c>
      <c r="M1777" s="748">
        <f t="shared" si="308"/>
        <v>1</v>
      </c>
      <c r="N1777" s="748" t="s">
        <v>3327</v>
      </c>
      <c r="Q1777" s="748">
        <f t="shared" si="309"/>
        <v>0</v>
      </c>
      <c r="T1777" s="748" t="s">
        <v>3796</v>
      </c>
      <c r="Y1777" s="748">
        <f>BR1763</f>
        <v>0</v>
      </c>
      <c r="Z1777" s="748">
        <f>BS1763</f>
        <v>0</v>
      </c>
      <c r="AA1777" s="748">
        <f>BT1763</f>
        <v>1</v>
      </c>
      <c r="AB1777" s="748">
        <f>BU1763</f>
        <v>0</v>
      </c>
      <c r="AC1777" s="748">
        <f>BV1763</f>
        <v>0</v>
      </c>
      <c r="AD1777" s="748">
        <f t="shared" si="310"/>
        <v>1</v>
      </c>
      <c r="AE1777" s="748" t="s">
        <v>839</v>
      </c>
    </row>
    <row r="1778" spans="3:31" ht="15" customHeight="1">
      <c r="C1778" s="748" t="s">
        <v>831</v>
      </c>
      <c r="H1778" s="748">
        <f>SUM(H1776:H1777)</f>
        <v>0</v>
      </c>
      <c r="I1778" s="748">
        <f>SUM(I1776:I1777)</f>
        <v>16</v>
      </c>
      <c r="J1778" s="748">
        <f>SUM(J1776:J1777)</f>
        <v>33</v>
      </c>
      <c r="K1778" s="748">
        <f>SUM(K1776:K1777)</f>
        <v>0</v>
      </c>
      <c r="L1778" s="748">
        <f>SUM(L1776:L1777)</f>
        <v>0</v>
      </c>
      <c r="M1778" s="748">
        <f t="shared" si="308"/>
        <v>49</v>
      </c>
      <c r="Q1778" s="748">
        <f t="shared" si="309"/>
        <v>0</v>
      </c>
      <c r="T1778" s="748" t="s">
        <v>831</v>
      </c>
      <c r="Y1778" s="748">
        <f>SUM(Y1776:Y1777)</f>
        <v>0</v>
      </c>
      <c r="Z1778" s="748">
        <f>SUM(Z1776:Z1777)</f>
        <v>16</v>
      </c>
      <c r="AA1778" s="748">
        <f>SUM(AA1776:AA1777)</f>
        <v>33</v>
      </c>
      <c r="AB1778" s="748">
        <f>SUM(AB1776:AB1777)</f>
        <v>0</v>
      </c>
      <c r="AC1778" s="748">
        <f>SUM(AC1776:AC1777)</f>
        <v>0</v>
      </c>
      <c r="AD1778" s="748">
        <f t="shared" si="310"/>
        <v>49</v>
      </c>
    </row>
    <row r="1779" spans="3:31" ht="14.4" customHeight="1"/>
    <row r="1780" spans="3:31" ht="15" customHeight="1">
      <c r="C1780" s="748" t="s">
        <v>1528</v>
      </c>
      <c r="G1780" s="748" t="s">
        <v>1790</v>
      </c>
      <c r="H1780" s="748">
        <f>AX1763</f>
        <v>0</v>
      </c>
      <c r="I1780" s="748">
        <f>AY1763</f>
        <v>9</v>
      </c>
      <c r="J1780" s="748">
        <f>AZ1763</f>
        <v>21</v>
      </c>
      <c r="K1780" s="748">
        <f>BA1763</f>
        <v>0</v>
      </c>
      <c r="L1780" s="748">
        <f>BB1763</f>
        <v>0</v>
      </c>
      <c r="M1780" s="748">
        <f>SUM(H1780:L1780)</f>
        <v>30</v>
      </c>
      <c r="Q1780" s="748">
        <f>ABS(M1780-AD1780)</f>
        <v>0</v>
      </c>
      <c r="T1780" s="748" t="s">
        <v>1528</v>
      </c>
      <c r="X1780" s="748" t="s">
        <v>1790</v>
      </c>
      <c r="Y1780" s="748">
        <f>AX1763</f>
        <v>0</v>
      </c>
      <c r="Z1780" s="748">
        <f>AY1763</f>
        <v>9</v>
      </c>
      <c r="AA1780" s="748">
        <f>AZ1763</f>
        <v>21</v>
      </c>
      <c r="AB1780" s="748">
        <f>BA1763</f>
        <v>0</v>
      </c>
      <c r="AC1780" s="748">
        <f>BB1763</f>
        <v>0</v>
      </c>
      <c r="AD1780" s="748">
        <f>SUM(Y1780:AC1780)</f>
        <v>30</v>
      </c>
    </row>
    <row r="1781" spans="3:31" ht="15" customHeight="1">
      <c r="C1781" s="748" t="s">
        <v>3797</v>
      </c>
      <c r="G1781" s="748" t="s">
        <v>133</v>
      </c>
      <c r="H1781" s="748">
        <f>AS1763</f>
        <v>0</v>
      </c>
      <c r="I1781" s="748">
        <f>AT1763</f>
        <v>4</v>
      </c>
      <c r="J1781" s="748">
        <f>AU1763</f>
        <v>4</v>
      </c>
      <c r="K1781" s="748">
        <f>AV1763</f>
        <v>0</v>
      </c>
      <c r="L1781" s="748">
        <f>AW1763</f>
        <v>0</v>
      </c>
      <c r="M1781" s="748">
        <f>SUM(H1781:L1781)</f>
        <v>8</v>
      </c>
      <c r="Q1781" s="748">
        <f>ABS(M1781-AD1781)</f>
        <v>0</v>
      </c>
      <c r="T1781" s="748" t="s">
        <v>3797</v>
      </c>
      <c r="X1781" s="748" t="s">
        <v>133</v>
      </c>
      <c r="Y1781" s="748">
        <f>AS1763</f>
        <v>0</v>
      </c>
      <c r="Z1781" s="748">
        <f>AT1763</f>
        <v>4</v>
      </c>
      <c r="AA1781" s="748">
        <f>AU1763</f>
        <v>4</v>
      </c>
      <c r="AB1781" s="748">
        <f>AV1763</f>
        <v>0</v>
      </c>
      <c r="AC1781" s="748">
        <f>AW1763</f>
        <v>0</v>
      </c>
      <c r="AD1781" s="748">
        <f>SUM(Y1781:AC1781)</f>
        <v>8</v>
      </c>
    </row>
    <row r="1782" spans="3:31" ht="15" customHeight="1">
      <c r="G1782" s="748" t="s">
        <v>831</v>
      </c>
      <c r="H1782" s="748">
        <f>SUM(H1780:H1781)</f>
        <v>0</v>
      </c>
      <c r="I1782" s="748">
        <f>SUM(I1780:I1781)</f>
        <v>13</v>
      </c>
      <c r="J1782" s="748">
        <f>SUM(J1780:J1781)</f>
        <v>25</v>
      </c>
      <c r="K1782" s="748">
        <f>SUM(K1780:K1781)</f>
        <v>0</v>
      </c>
      <c r="L1782" s="748">
        <f>SUM(L1780:L1781)</f>
        <v>0</v>
      </c>
      <c r="M1782" s="748">
        <f>SUM(H1782:L1782)</f>
        <v>38</v>
      </c>
      <c r="Q1782" s="748">
        <f>ABS(M1782-AD1782)</f>
        <v>0</v>
      </c>
      <c r="X1782" s="748" t="s">
        <v>831</v>
      </c>
      <c r="Y1782" s="748">
        <f>SUM(Y1780:Y1781)</f>
        <v>0</v>
      </c>
      <c r="Z1782" s="748">
        <f>SUM(Z1780:Z1781)</f>
        <v>13</v>
      </c>
      <c r="AA1782" s="748">
        <f>SUM(AA1780:AA1781)</f>
        <v>25</v>
      </c>
      <c r="AB1782" s="748">
        <f>SUM(AB1780:AB1781)</f>
        <v>0</v>
      </c>
      <c r="AC1782" s="748">
        <f>SUM(AC1780:AC1781)</f>
        <v>0</v>
      </c>
      <c r="AD1782" s="748">
        <f>SUM(Y1782:AC1782)</f>
        <v>38</v>
      </c>
    </row>
    <row r="1783" spans="3:31" ht="14.4"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44</v>
      </c>
      <c r="T1787" s="748" t="s">
        <v>3234</v>
      </c>
    </row>
    <row r="1788" spans="3:31" ht="15" customHeight="1">
      <c r="E1788" s="748" t="s">
        <v>3434</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3434</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3236</v>
      </c>
      <c r="G1791" s="748" t="s">
        <v>2153</v>
      </c>
      <c r="H1791" s="748">
        <f>DP1763</f>
        <v>0</v>
      </c>
      <c r="I1791" s="748">
        <f>DQ1763</f>
        <v>16</v>
      </c>
      <c r="J1791" s="748">
        <f>DR1763</f>
        <v>32</v>
      </c>
      <c r="K1791" s="748">
        <f>DS1763</f>
        <v>0</v>
      </c>
      <c r="L1791" s="748">
        <f>DT1763</f>
        <v>0</v>
      </c>
      <c r="M1791" s="748">
        <f t="shared" si="311"/>
        <v>48</v>
      </c>
      <c r="Q1791" s="748">
        <f t="shared" si="312"/>
        <v>0</v>
      </c>
      <c r="V1791" s="748" t="s">
        <v>3236</v>
      </c>
      <c r="X1791" s="748" t="s">
        <v>2153</v>
      </c>
      <c r="Y1791" s="748">
        <f>DP1763</f>
        <v>0</v>
      </c>
      <c r="Z1791" s="748">
        <f>DQ1763</f>
        <v>16</v>
      </c>
      <c r="AA1791" s="748">
        <f>DR1763</f>
        <v>32</v>
      </c>
      <c r="AB1791" s="748">
        <f>DS1763</f>
        <v>0</v>
      </c>
      <c r="AC1791" s="748">
        <f>DT1763</f>
        <v>0</v>
      </c>
      <c r="AD1791" s="748">
        <f t="shared" si="313"/>
        <v>48</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16</v>
      </c>
      <c r="J1793" s="748">
        <f>SUM(J1791:J1792)+EB1763</f>
        <v>33</v>
      </c>
      <c r="K1793" s="748">
        <f>SUM(K1791:K1792)+EC1763</f>
        <v>0</v>
      </c>
      <c r="L1793" s="748">
        <f>SUM(L1791:L1792)+ED1763</f>
        <v>0</v>
      </c>
      <c r="M1793" s="748">
        <f t="shared" si="311"/>
        <v>49</v>
      </c>
      <c r="Q1793" s="748">
        <f t="shared" si="312"/>
        <v>0</v>
      </c>
      <c r="X1793" s="748" t="s">
        <v>34</v>
      </c>
      <c r="Y1793" s="748">
        <f>SUM(Y1791:Y1792)+DZ1763</f>
        <v>0</v>
      </c>
      <c r="Z1793" s="748">
        <f>SUM(Z1791:Z1792)+EA1763</f>
        <v>16</v>
      </c>
      <c r="AA1793" s="748">
        <f>SUM(AA1791:AA1792)+EB1763</f>
        <v>33</v>
      </c>
      <c r="AB1793" s="748">
        <f>SUM(AB1791:AB1792)+EC1763</f>
        <v>0</v>
      </c>
      <c r="AC1793" s="748">
        <f>SUM(AC1791:AC1792)+ED1763</f>
        <v>0</v>
      </c>
      <c r="AD1793" s="748">
        <f t="shared" si="313"/>
        <v>49</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3140</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45</v>
      </c>
      <c r="T1799" s="748" t="s">
        <v>45</v>
      </c>
    </row>
    <row r="1800" spans="2:30" ht="15" customHeight="1">
      <c r="E1800" s="748" t="s">
        <v>46</v>
      </c>
      <c r="H1800" s="748">
        <f>ET1763</f>
        <v>0</v>
      </c>
      <c r="I1800" s="748">
        <f>EU1763</f>
        <v>16</v>
      </c>
      <c r="J1800" s="748">
        <f>EV1763</f>
        <v>33</v>
      </c>
      <c r="K1800" s="748">
        <f>EW1763</f>
        <v>0</v>
      </c>
      <c r="L1800" s="748">
        <f>EX1763</f>
        <v>0</v>
      </c>
      <c r="M1800" s="748">
        <f>SUM(H1800:L1800)</f>
        <v>49</v>
      </c>
      <c r="Q1800" s="748">
        <f>ABS(M1800-AD1800)</f>
        <v>0</v>
      </c>
      <c r="V1800" s="748" t="s">
        <v>46</v>
      </c>
      <c r="Y1800" s="748">
        <f>ET1763</f>
        <v>0</v>
      </c>
      <c r="Z1800" s="748">
        <f>EU1763</f>
        <v>16</v>
      </c>
      <c r="AA1800" s="748">
        <f>EV1763</f>
        <v>33</v>
      </c>
      <c r="AB1800" s="748">
        <f>EW1763</f>
        <v>0</v>
      </c>
      <c r="AC1800" s="748">
        <f>EX1763</f>
        <v>0</v>
      </c>
      <c r="AD1800" s="748">
        <f>SUM(Y1800:AC1800)</f>
        <v>49</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3268</v>
      </c>
      <c r="S1806" s="748" t="s">
        <v>1776</v>
      </c>
    </row>
    <row r="1807" spans="2:30" ht="15" customHeight="1">
      <c r="C1807" s="748" t="s">
        <v>3235</v>
      </c>
      <c r="G1807" s="748" t="s">
        <v>1790</v>
      </c>
      <c r="H1807" s="748">
        <f>BW1763</f>
        <v>0</v>
      </c>
      <c r="I1807" s="748">
        <f>BX1763</f>
        <v>8460</v>
      </c>
      <c r="J1807" s="748">
        <f>BY1763</f>
        <v>24332</v>
      </c>
      <c r="K1807" s="748">
        <f>BZ1763</f>
        <v>0</v>
      </c>
      <c r="L1807" s="748">
        <f>CA1763</f>
        <v>0</v>
      </c>
      <c r="M1807" s="748">
        <f t="shared" ref="M1807:M1813" si="314">SUM(H1807:L1807)</f>
        <v>32792</v>
      </c>
      <c r="Q1807" s="748">
        <f t="shared" ref="Q1807:Q1813" si="315">ABS(M1807-AD1807)</f>
        <v>0</v>
      </c>
      <c r="T1807" s="748" t="s">
        <v>3235</v>
      </c>
      <c r="X1807" s="748" t="s">
        <v>1790</v>
      </c>
      <c r="Y1807" s="748">
        <f>BW1763</f>
        <v>0</v>
      </c>
      <c r="Z1807" s="748">
        <f>BX1763</f>
        <v>8460</v>
      </c>
      <c r="AA1807" s="748">
        <f>BY1763</f>
        <v>24332</v>
      </c>
      <c r="AB1807" s="748">
        <f>BZ1763</f>
        <v>0</v>
      </c>
      <c r="AC1807" s="748">
        <f>CA1763</f>
        <v>0</v>
      </c>
      <c r="AD1807" s="748">
        <f t="shared" ref="AD1807:AD1813" si="316">SUM(Y1807:AC1807)</f>
        <v>32792</v>
      </c>
    </row>
    <row r="1808" spans="2:30" ht="15" customHeight="1">
      <c r="G1808" s="748" t="s">
        <v>133</v>
      </c>
      <c r="H1808" s="748">
        <f>CB1763</f>
        <v>0</v>
      </c>
      <c r="I1808" s="748">
        <f>CC1763</f>
        <v>2820</v>
      </c>
      <c r="J1808" s="748">
        <f>CD1763</f>
        <v>3476</v>
      </c>
      <c r="K1808" s="748">
        <f>CE1763</f>
        <v>0</v>
      </c>
      <c r="L1808" s="748">
        <f>CF1763</f>
        <v>0</v>
      </c>
      <c r="M1808" s="748">
        <f t="shared" si="314"/>
        <v>6296</v>
      </c>
      <c r="Q1808" s="748">
        <f t="shared" si="315"/>
        <v>0</v>
      </c>
      <c r="X1808" s="748" t="s">
        <v>133</v>
      </c>
      <c r="Y1808" s="748">
        <f>CB1763</f>
        <v>0</v>
      </c>
      <c r="Z1808" s="748">
        <f>CC1763</f>
        <v>2820</v>
      </c>
      <c r="AA1808" s="748">
        <f>CD1763</f>
        <v>3476</v>
      </c>
      <c r="AB1808" s="748">
        <f>CE1763</f>
        <v>0</v>
      </c>
      <c r="AC1808" s="748">
        <f>CF1763</f>
        <v>0</v>
      </c>
      <c r="AD1808" s="748">
        <f t="shared" si="316"/>
        <v>6296</v>
      </c>
    </row>
    <row r="1809" spans="1:30" ht="15" customHeight="1">
      <c r="G1809" s="748" t="s">
        <v>831</v>
      </c>
      <c r="H1809" s="748">
        <f>SUM(H1807:H1808)</f>
        <v>0</v>
      </c>
      <c r="I1809" s="748">
        <f>SUM(I1807:I1808)</f>
        <v>11280</v>
      </c>
      <c r="J1809" s="748">
        <f>SUM(J1807:J1808)</f>
        <v>27808</v>
      </c>
      <c r="K1809" s="748">
        <f>SUM(K1807:K1808)</f>
        <v>0</v>
      </c>
      <c r="L1809" s="748">
        <f>SUM(L1807:L1808)</f>
        <v>0</v>
      </c>
      <c r="M1809" s="748">
        <f t="shared" si="314"/>
        <v>39088</v>
      </c>
      <c r="Q1809" s="748">
        <f t="shared" si="315"/>
        <v>0</v>
      </c>
      <c r="X1809" s="748" t="s">
        <v>831</v>
      </c>
      <c r="Y1809" s="748">
        <f>SUM(Y1807:Y1808)</f>
        <v>0</v>
      </c>
      <c r="Z1809" s="748">
        <f>SUM(Z1807:Z1808)</f>
        <v>11280</v>
      </c>
      <c r="AA1809" s="748">
        <f>SUM(AA1807:AA1808)</f>
        <v>27808</v>
      </c>
      <c r="AB1809" s="748">
        <f>SUM(AB1807:AB1808)</f>
        <v>0</v>
      </c>
      <c r="AC1809" s="748">
        <f>SUM(AC1807:AC1808)</f>
        <v>0</v>
      </c>
      <c r="AD1809" s="748">
        <f t="shared" si="316"/>
        <v>39088</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11280</v>
      </c>
      <c r="J1811" s="748">
        <f>SUM(J1809:J1810)</f>
        <v>27808</v>
      </c>
      <c r="K1811" s="748">
        <f>SUM(K1809:K1810)</f>
        <v>0</v>
      </c>
      <c r="L1811" s="748">
        <f>SUM(L1809:L1810)</f>
        <v>0</v>
      </c>
      <c r="M1811" s="748">
        <f t="shared" si="314"/>
        <v>39088</v>
      </c>
      <c r="Q1811" s="748">
        <f t="shared" si="315"/>
        <v>0</v>
      </c>
      <c r="T1811" s="748" t="s">
        <v>1778</v>
      </c>
      <c r="Y1811" s="748">
        <f>SUM(Y1809:Y1810)</f>
        <v>0</v>
      </c>
      <c r="Z1811" s="748">
        <f>SUM(Z1809:Z1810)</f>
        <v>11280</v>
      </c>
      <c r="AA1811" s="748">
        <f>SUM(AA1809:AA1810)</f>
        <v>27808</v>
      </c>
      <c r="AB1811" s="748">
        <f>SUM(AB1809:AB1810)</f>
        <v>0</v>
      </c>
      <c r="AC1811" s="748">
        <f>SUM(AC1809:AC1810)</f>
        <v>0</v>
      </c>
      <c r="AD1811" s="748">
        <f t="shared" si="316"/>
        <v>39088</v>
      </c>
    </row>
    <row r="1812" spans="1:30" ht="15" customHeight="1">
      <c r="C1812" s="748" t="s">
        <v>3796</v>
      </c>
      <c r="H1812" s="748">
        <f>CV1763</f>
        <v>0</v>
      </c>
      <c r="I1812" s="748">
        <f>CW1763</f>
        <v>0</v>
      </c>
      <c r="J1812" s="748">
        <f>CX1763</f>
        <v>899</v>
      </c>
      <c r="K1812" s="748">
        <f>CY1763</f>
        <v>0</v>
      </c>
      <c r="L1812" s="748">
        <f>CZ1763</f>
        <v>0</v>
      </c>
      <c r="M1812" s="748">
        <f t="shared" si="314"/>
        <v>899</v>
      </c>
      <c r="Q1812" s="748">
        <f t="shared" si="315"/>
        <v>0</v>
      </c>
      <c r="T1812" s="748" t="s">
        <v>3796</v>
      </c>
      <c r="Y1812" s="748">
        <f>CV1763</f>
        <v>0</v>
      </c>
      <c r="Z1812" s="748">
        <f>CW1763</f>
        <v>0</v>
      </c>
      <c r="AA1812" s="748">
        <f>CX1763</f>
        <v>899</v>
      </c>
      <c r="AB1812" s="748">
        <f>CY1763</f>
        <v>0</v>
      </c>
      <c r="AC1812" s="748">
        <f>CZ1763</f>
        <v>0</v>
      </c>
      <c r="AD1812" s="748">
        <f t="shared" si="316"/>
        <v>899</v>
      </c>
    </row>
    <row r="1813" spans="1:30" ht="15" customHeight="1">
      <c r="C1813" s="748" t="s">
        <v>831</v>
      </c>
      <c r="H1813" s="748">
        <f>SUM(H1811:H1812)</f>
        <v>0</v>
      </c>
      <c r="I1813" s="748">
        <f>SUM(I1811:I1812)</f>
        <v>11280</v>
      </c>
      <c r="J1813" s="748">
        <f>SUM(J1811:J1812)</f>
        <v>28707</v>
      </c>
      <c r="K1813" s="748">
        <f>SUM(K1811:K1812)</f>
        <v>0</v>
      </c>
      <c r="L1813" s="748">
        <f>SUM(L1811:L1812)</f>
        <v>0</v>
      </c>
      <c r="M1813" s="748">
        <f t="shared" si="314"/>
        <v>39987</v>
      </c>
      <c r="Q1813" s="748">
        <f t="shared" si="315"/>
        <v>0</v>
      </c>
      <c r="T1813" s="748" t="s">
        <v>831</v>
      </c>
      <c r="Y1813" s="748">
        <f>SUM(Y1811:Y1812)</f>
        <v>0</v>
      </c>
      <c r="Z1813" s="748">
        <f>SUM(Z1811:Z1812)</f>
        <v>11280</v>
      </c>
      <c r="AA1813" s="748">
        <f>SUM(AA1811:AA1812)</f>
        <v>28707</v>
      </c>
      <c r="AB1813" s="748">
        <f>SUM(AB1811:AB1812)</f>
        <v>0</v>
      </c>
      <c r="AC1813" s="748">
        <f>SUM(AC1811:AC1812)</f>
        <v>0</v>
      </c>
      <c r="AD1813" s="748">
        <f t="shared" si="316"/>
        <v>39987</v>
      </c>
    </row>
    <row r="1814" spans="1:30" ht="4.95" customHeight="1"/>
    <row r="1815" spans="1:30" ht="13.95" customHeight="1">
      <c r="A1815" s="748" t="s">
        <v>1230</v>
      </c>
      <c r="B1815" s="748" t="s">
        <v>4073</v>
      </c>
    </row>
    <row r="1816" spans="1:30" ht="9" customHeight="1"/>
    <row r="1817" spans="1:30" ht="12.6" customHeight="1">
      <c r="B1817" s="748" t="s">
        <v>1631</v>
      </c>
      <c r="G1817" s="748">
        <f>0.02*L1764</f>
        <v>4581.12</v>
      </c>
      <c r="I1817" s="748" t="s">
        <v>3751</v>
      </c>
    </row>
    <row r="1818" spans="1:30" ht="15" customHeight="1"/>
    <row r="1819" spans="1:30" ht="13.95" customHeight="1">
      <c r="B1819" s="748" t="s">
        <v>2168</v>
      </c>
    </row>
    <row r="1820" spans="1:30" ht="15" customHeight="1"/>
    <row r="1821" spans="1:30" ht="13.95"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4074</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t="str">
        <f>'Part VI-Revenues &amp; Expenses'!C114</f>
        <v>USDA Rent adjustment</v>
      </c>
      <c r="G1829" s="748">
        <f>'Part VI-Revenues &amp; Expenses'!G114</f>
        <v>2000</v>
      </c>
      <c r="H1829" s="748">
        <f>'Part VI-Revenues &amp; Expenses'!H114</f>
        <v>3000</v>
      </c>
      <c r="I1829" s="748">
        <f>'Part VI-Revenues &amp; Expenses'!I114</f>
        <v>4000</v>
      </c>
      <c r="J1829" s="748">
        <f>'Part VI-Revenues &amp; Expenses'!J114</f>
        <v>5000</v>
      </c>
      <c r="K1829" s="748">
        <f>'Part VI-Revenues &amp; Expenses'!K114</f>
        <v>6250</v>
      </c>
      <c r="L1829" s="748">
        <f>'Part VI-Revenues &amp; Expenses'!L114</f>
        <v>7500</v>
      </c>
      <c r="M1829" s="748">
        <f>'Part VI-Revenues &amp; Expenses'!M114</f>
        <v>8750</v>
      </c>
      <c r="N1829" s="748">
        <f>'Part VI-Revenues &amp; Expenses'!N114</f>
        <v>10250</v>
      </c>
      <c r="O1829" s="748">
        <f>'Part VI-Revenues &amp; Expenses'!O114</f>
        <v>11750</v>
      </c>
      <c r="P1829" s="748">
        <f>'Part VI-Revenues &amp; Expenses'!P114</f>
        <v>13500</v>
      </c>
    </row>
    <row r="1830" spans="2:16" ht="15" customHeight="1">
      <c r="C1830" s="748" t="s">
        <v>4075</v>
      </c>
      <c r="G1830" s="748">
        <f t="shared" ref="G1830:P1830" si="318">SUM(G1827:G1829)</f>
        <v>2000</v>
      </c>
      <c r="H1830" s="748">
        <f t="shared" si="318"/>
        <v>3000</v>
      </c>
      <c r="I1830" s="748">
        <f t="shared" si="318"/>
        <v>4000</v>
      </c>
      <c r="J1830" s="748">
        <f t="shared" si="318"/>
        <v>5000</v>
      </c>
      <c r="K1830" s="748">
        <f t="shared" si="318"/>
        <v>6250</v>
      </c>
      <c r="L1830" s="748">
        <f t="shared" si="318"/>
        <v>7500</v>
      </c>
      <c r="M1830" s="748">
        <f t="shared" si="318"/>
        <v>8750</v>
      </c>
      <c r="N1830" s="748">
        <f t="shared" si="318"/>
        <v>10250</v>
      </c>
      <c r="O1830" s="748">
        <f t="shared" si="318"/>
        <v>11750</v>
      </c>
      <c r="P1830" s="748">
        <f t="shared" si="318"/>
        <v>13500</v>
      </c>
    </row>
    <row r="1831" spans="2:16" ht="42.6" customHeight="1"/>
    <row r="1832" spans="2:16" ht="13.95"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4074</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t="str">
        <f>'Part VI-Revenues &amp; Expenses'!C125</f>
        <v>USDA Rent adjustment</v>
      </c>
      <c r="G1840" s="748">
        <f>'Part VI-Revenues &amp; Expenses'!G125</f>
        <v>15250</v>
      </c>
      <c r="H1840" s="748">
        <f>'Part VI-Revenues &amp; Expenses'!H125</f>
        <v>17000</v>
      </c>
      <c r="I1840" s="748">
        <f>'Part VI-Revenues &amp; Expenses'!I125</f>
        <v>19000</v>
      </c>
      <c r="J1840" s="748">
        <f>'Part VI-Revenues &amp; Expenses'!J125</f>
        <v>21250</v>
      </c>
      <c r="K1840" s="748">
        <f>'Part VI-Revenues &amp; Expenses'!K125</f>
        <v>23250</v>
      </c>
      <c r="L1840" s="748">
        <f>'Part VI-Revenues &amp; Expenses'!L125</f>
        <v>25750</v>
      </c>
      <c r="M1840" s="748">
        <f>'Part VI-Revenues &amp; Expenses'!M125</f>
        <v>28000</v>
      </c>
      <c r="N1840" s="748">
        <f>'Part VI-Revenues &amp; Expenses'!N125</f>
        <v>30500</v>
      </c>
      <c r="O1840" s="748">
        <f>'Part VI-Revenues &amp; Expenses'!O125</f>
        <v>33250</v>
      </c>
      <c r="P1840" s="748">
        <f>'Part VI-Revenues &amp; Expenses'!P125</f>
        <v>36250</v>
      </c>
    </row>
    <row r="1841" spans="1:16" ht="15" customHeight="1">
      <c r="C1841" s="748" t="s">
        <v>4075</v>
      </c>
      <c r="G1841" s="748">
        <f t="shared" ref="G1841:P1841" si="320">SUM(G1838:G1840)</f>
        <v>15250</v>
      </c>
      <c r="H1841" s="748">
        <f t="shared" si="320"/>
        <v>17000</v>
      </c>
      <c r="I1841" s="748">
        <f t="shared" si="320"/>
        <v>19000</v>
      </c>
      <c r="J1841" s="748">
        <f t="shared" si="320"/>
        <v>21250</v>
      </c>
      <c r="K1841" s="748">
        <f t="shared" si="320"/>
        <v>23250</v>
      </c>
      <c r="L1841" s="748">
        <f t="shared" si="320"/>
        <v>25750</v>
      </c>
      <c r="M1841" s="748">
        <f t="shared" si="320"/>
        <v>28000</v>
      </c>
      <c r="N1841" s="748">
        <f t="shared" si="320"/>
        <v>30500</v>
      </c>
      <c r="O1841" s="748">
        <f t="shared" si="320"/>
        <v>33250</v>
      </c>
      <c r="P1841" s="748">
        <f t="shared" si="320"/>
        <v>36250</v>
      </c>
    </row>
    <row r="1842" spans="1:16" ht="42.6" customHeight="1"/>
    <row r="1843" spans="1:16" ht="13.95"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4074</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t="str">
        <f>'Part VI-Revenues &amp; Expenses'!C136</f>
        <v>USDA Rent adjustment</v>
      </c>
      <c r="G1851" s="748">
        <f>'Part VI-Revenues &amp; Expenses'!G136</f>
        <v>39000</v>
      </c>
      <c r="H1851" s="748">
        <f>'Part VI-Revenues &amp; Expenses'!H136</f>
        <v>42250</v>
      </c>
      <c r="I1851" s="748">
        <f>'Part VI-Revenues &amp; Expenses'!I136</f>
        <v>45500</v>
      </c>
      <c r="J1851" s="748">
        <f>'Part VI-Revenues &amp; Expenses'!J136</f>
        <v>49000</v>
      </c>
      <c r="K1851" s="748">
        <f>'Part VI-Revenues &amp; Expenses'!K136</f>
        <v>52750</v>
      </c>
      <c r="L1851" s="748">
        <f>'Part VI-Revenues &amp; Expenses'!L136</f>
        <v>56500</v>
      </c>
      <c r="M1851" s="748">
        <f>'Part VI-Revenues &amp; Expenses'!M136</f>
        <v>60500</v>
      </c>
      <c r="N1851" s="748">
        <f>'Part VI-Revenues &amp; Expenses'!N136</f>
        <v>64750</v>
      </c>
      <c r="O1851" s="748">
        <f>'Part VI-Revenues &amp; Expenses'!O136</f>
        <v>69000</v>
      </c>
      <c r="P1851" s="748">
        <f>'Part VI-Revenues &amp; Expenses'!P136</f>
        <v>73750</v>
      </c>
    </row>
    <row r="1852" spans="1:16" ht="15" customHeight="1">
      <c r="C1852" s="748" t="s">
        <v>4075</v>
      </c>
      <c r="G1852" s="748">
        <f t="shared" ref="G1852:P1852" si="322">SUM(G1849:G1851)</f>
        <v>39000</v>
      </c>
      <c r="H1852" s="748">
        <f t="shared" si="322"/>
        <v>42250</v>
      </c>
      <c r="I1852" s="748">
        <f t="shared" si="322"/>
        <v>45500</v>
      </c>
      <c r="J1852" s="748">
        <f t="shared" si="322"/>
        <v>49000</v>
      </c>
      <c r="K1852" s="748">
        <f t="shared" si="322"/>
        <v>52750</v>
      </c>
      <c r="L1852" s="748">
        <f t="shared" si="322"/>
        <v>56500</v>
      </c>
      <c r="M1852" s="748">
        <f t="shared" si="322"/>
        <v>60500</v>
      </c>
      <c r="N1852" s="748">
        <f t="shared" si="322"/>
        <v>64750</v>
      </c>
      <c r="O1852" s="748">
        <f t="shared" si="322"/>
        <v>69000</v>
      </c>
      <c r="P1852" s="748">
        <f t="shared" si="322"/>
        <v>73750</v>
      </c>
    </row>
    <row r="1853" spans="1:16" ht="9.6" customHeight="1"/>
    <row r="1854" spans="1:16" ht="11.25" customHeight="1">
      <c r="A1854" s="748" t="s">
        <v>2822</v>
      </c>
      <c r="B1854" s="748" t="s">
        <v>1634</v>
      </c>
    </row>
    <row r="1855" spans="1:16" ht="9" customHeight="1"/>
    <row r="1856" spans="1:16" ht="13.2" customHeight="1">
      <c r="B1856" s="748" t="s">
        <v>1989</v>
      </c>
      <c r="I1856" s="748" t="s">
        <v>2078</v>
      </c>
      <c r="N1856" s="748" t="s">
        <v>2077</v>
      </c>
    </row>
    <row r="1857" spans="2:16" ht="15.6" customHeight="1">
      <c r="B1857" s="748" t="s">
        <v>3302</v>
      </c>
      <c r="F1857" s="748">
        <f>'Part VI-Revenues &amp; Expenses'!F142</f>
        <v>13771</v>
      </c>
      <c r="I1857" s="748" t="s">
        <v>2079</v>
      </c>
      <c r="K1857" s="748">
        <f>'Part VI-Revenues &amp; Expenses'!K142</f>
        <v>0</v>
      </c>
      <c r="N1857" s="748" t="s">
        <v>1523</v>
      </c>
      <c r="P1857" s="748">
        <f>'Part VI-Revenues &amp; Expenses'!P142</f>
        <v>15542</v>
      </c>
    </row>
    <row r="1858" spans="2:16" ht="15.6" customHeight="1">
      <c r="B1858" s="748" t="s">
        <v>2068</v>
      </c>
      <c r="F1858" s="748">
        <f>'Part VI-Revenues &amp; Expenses'!F143</f>
        <v>17166</v>
      </c>
      <c r="I1858" s="748" t="s">
        <v>2080</v>
      </c>
      <c r="K1858" s="748">
        <f>'Part VI-Revenues &amp; Expenses'!K143</f>
        <v>0</v>
      </c>
      <c r="N1858" s="748" t="s">
        <v>200</v>
      </c>
      <c r="P1858" s="748">
        <f>'Part VI-Revenues &amp; Expenses'!P143</f>
        <v>4736</v>
      </c>
    </row>
    <row r="1859" spans="2:16" ht="15.6" customHeight="1">
      <c r="B1859" s="748" t="s">
        <v>1915</v>
      </c>
      <c r="F1859" s="748">
        <f>'Part VI-Revenues &amp; Expenses'!F144</f>
        <v>0</v>
      </c>
      <c r="J1859" s="748" t="s">
        <v>249</v>
      </c>
      <c r="K1859" s="748">
        <f>SUM(K1857:L1858)</f>
        <v>0</v>
      </c>
      <c r="N1859" s="748" t="str">
        <f>'Part VI-Revenues &amp; Expenses'!N144</f>
        <v>Misc Taxes</v>
      </c>
      <c r="P1859" s="748">
        <f>'Part VI-Revenues &amp; Expenses'!P144</f>
        <v>588</v>
      </c>
    </row>
    <row r="1860" spans="2:16" ht="15.6" customHeight="1">
      <c r="B1860" s="748" t="str">
        <f>'Part VI-Revenues &amp; Expenses'!B145</f>
        <v>Taxs &amp; Benefits</v>
      </c>
      <c r="F1860" s="748">
        <f>'Part VI-Revenues &amp; Expenses'!F145</f>
        <v>10753</v>
      </c>
      <c r="N1860" s="748" t="s">
        <v>249</v>
      </c>
      <c r="P1860" s="748">
        <f>SUM(P1857:P1859)</f>
        <v>20866</v>
      </c>
    </row>
    <row r="1861" spans="2:16" ht="15.6" customHeight="1">
      <c r="C1861" s="748" t="s">
        <v>249</v>
      </c>
      <c r="F1861" s="748">
        <f>SUM(F1857:G1860)</f>
        <v>41690</v>
      </c>
    </row>
    <row r="1862" spans="2:16" ht="9" customHeight="1"/>
    <row r="1863" spans="2:16" ht="13.2" customHeight="1">
      <c r="B1863" s="748" t="s">
        <v>1990</v>
      </c>
      <c r="I1863" s="748" t="s">
        <v>1991</v>
      </c>
      <c r="N1863" s="748" t="s">
        <v>2081</v>
      </c>
      <c r="P1863" s="748">
        <f>IF(OR('Part VII-Pro Forma'!$B$20 = "Choose Mgt Fee",'Part VII-Pro Forma'!$B$20 = "Choose One!"), 0,- 'Part VII-Pro Forma'!$B$20)</f>
        <v>22592</v>
      </c>
    </row>
    <row r="1864" spans="2:16" ht="15.6" customHeight="1">
      <c r="B1864" s="748" t="s">
        <v>2073</v>
      </c>
      <c r="F1864" s="748">
        <f>'Part VI-Revenues &amp; Expenses'!F149</f>
        <v>2640</v>
      </c>
      <c r="I1864" s="748" t="s">
        <v>2363</v>
      </c>
      <c r="K1864" s="748">
        <f>'Part VI-Revenues &amp; Expenses'!K149</f>
        <v>1104</v>
      </c>
      <c r="N1864" s="748">
        <f>+P1863/(M1778*0.93)</f>
        <v>495.76475751590959</v>
      </c>
      <c r="O1864" s="748" t="s">
        <v>3861</v>
      </c>
    </row>
    <row r="1865" spans="2:16" ht="15.6" customHeight="1">
      <c r="B1865" s="748" t="s">
        <v>2074</v>
      </c>
      <c r="F1865" s="748">
        <f>'Part VI-Revenues &amp; Expenses'!F150</f>
        <v>2700</v>
      </c>
      <c r="I1865" s="748" t="s">
        <v>3139</v>
      </c>
      <c r="K1865" s="748">
        <f>'Part VI-Revenues &amp; Expenses'!K150</f>
        <v>7500</v>
      </c>
      <c r="N1865" s="748">
        <f>+P1863/(M1778*0.93)/12</f>
        <v>41.313729792992469</v>
      </c>
      <c r="O1865" s="748" t="s">
        <v>3862</v>
      </c>
    </row>
    <row r="1866" spans="2:16" ht="15.6" customHeight="1">
      <c r="B1866" s="748" t="s">
        <v>2075</v>
      </c>
      <c r="F1866" s="748">
        <f>'Part VI-Revenues &amp; Expenses'!F151</f>
        <v>875</v>
      </c>
      <c r="I1866" s="748" t="s">
        <v>2364</v>
      </c>
      <c r="K1866" s="748">
        <f>'Part VI-Revenues &amp; Expenses'!K151</f>
        <v>1140</v>
      </c>
    </row>
    <row r="1867" spans="2:16" ht="15.6" customHeight="1">
      <c r="B1867" s="748" t="s">
        <v>3487</v>
      </c>
      <c r="F1867" s="748">
        <f>'Part VI-Revenues &amp; Expenses'!F152</f>
        <v>0</v>
      </c>
      <c r="I1867" s="748" t="str">
        <f>'Part VI-Revenues &amp; Expenses'!I152</f>
        <v>Other (describe here)</v>
      </c>
      <c r="K1867" s="748">
        <f>'Part VI-Revenues &amp; Expenses'!K152</f>
        <v>0</v>
      </c>
      <c r="N1867" s="748" t="s">
        <v>3731</v>
      </c>
    </row>
    <row r="1868" spans="2:16" ht="15.6" customHeight="1">
      <c r="B1868" s="748" t="s">
        <v>2361</v>
      </c>
      <c r="F1868" s="748">
        <f>'Part VI-Revenues &amp; Expenses'!F153</f>
        <v>2480</v>
      </c>
      <c r="J1868" s="748" t="s">
        <v>249</v>
      </c>
      <c r="K1868" s="748">
        <f>SUM(K1864:K1867)</f>
        <v>9744</v>
      </c>
    </row>
    <row r="1869" spans="2:16" ht="15.6" customHeight="1">
      <c r="B1869" s="748" t="str">
        <f>'Part VI-Revenues &amp; Expenses'!B154</f>
        <v>Other (describe here)</v>
      </c>
      <c r="F1869" s="748">
        <f>'Part VI-Revenues &amp; Expenses'!F154</f>
        <v>0</v>
      </c>
    </row>
    <row r="1870" spans="2:16" ht="15.6" customHeight="1">
      <c r="C1870" s="748" t="s">
        <v>249</v>
      </c>
      <c r="F1870" s="748">
        <f>SUM(F1864:G1869)</f>
        <v>8695</v>
      </c>
    </row>
    <row r="1871" spans="2:16" ht="9" customHeight="1"/>
    <row r="1872" spans="2:16" ht="13.2" customHeight="1">
      <c r="B1872" s="748" t="s">
        <v>1992</v>
      </c>
      <c r="I1872" s="748" t="s">
        <v>2076</v>
      </c>
      <c r="J1872" s="748" t="s">
        <v>3553</v>
      </c>
      <c r="N1872" s="748" t="s">
        <v>3292</v>
      </c>
    </row>
    <row r="1873" spans="1:16" ht="15.6" customHeight="1">
      <c r="B1873" s="748" t="s">
        <v>2365</v>
      </c>
      <c r="F1873" s="748">
        <f>'Part VI-Revenues &amp; Expenses'!F158</f>
        <v>3621</v>
      </c>
      <c r="I1873" s="748" t="s">
        <v>2069</v>
      </c>
      <c r="J1873" s="748" t="e">
        <f>K1873/12/$M$63</f>
        <v>#DIV/0!</v>
      </c>
      <c r="K1873" s="748">
        <f>'Part VI-Revenues &amp; Expenses'!K158</f>
        <v>4140</v>
      </c>
      <c r="N1873" s="748" t="e">
        <f>+$P$158/$M$63</f>
        <v>#DIV/0!</v>
      </c>
      <c r="O1873" s="748" t="s">
        <v>2109</v>
      </c>
      <c r="P1873" s="748">
        <f>F1861+F1870+F1881+K1859+K1868+K1878+P1860+P1863</f>
        <v>160033</v>
      </c>
    </row>
    <row r="1874" spans="1:16" ht="15.6" customHeight="1">
      <c r="B1874" s="748" t="s">
        <v>2366</v>
      </c>
      <c r="F1874" s="748">
        <f>'Part VI-Revenues &amp; Expenses'!F159</f>
        <v>2000</v>
      </c>
      <c r="I1874" s="748" t="s">
        <v>2070</v>
      </c>
      <c r="J1874" s="748" t="e">
        <f>K1874/12/$M$63</f>
        <v>#DIV/0!</v>
      </c>
      <c r="K1874" s="748">
        <f>'Part VI-Revenues &amp; Expenses'!K159</f>
        <v>1200</v>
      </c>
    </row>
    <row r="1875" spans="1:16" ht="15.6" customHeight="1">
      <c r="B1875" s="748" t="s">
        <v>2367</v>
      </c>
      <c r="F1875" s="748">
        <f>'Part VI-Revenues &amp; Expenses'!F160</f>
        <v>800</v>
      </c>
      <c r="I1875" s="748" t="s">
        <v>3552</v>
      </c>
      <c r="J1875" s="748" t="e">
        <f>K1875/12/$M$63</f>
        <v>#DIV/0!</v>
      </c>
      <c r="K1875" s="748">
        <f>'Part VI-Revenues &amp; Expenses'!K160</f>
        <v>2460</v>
      </c>
    </row>
    <row r="1876" spans="1:16" ht="15.6" customHeight="1">
      <c r="B1876" s="748" t="s">
        <v>1615</v>
      </c>
      <c r="F1876" s="748">
        <f>'Part VI-Revenues &amp; Expenses'!F161</f>
        <v>3000</v>
      </c>
      <c r="I1876" s="748" t="s">
        <v>2072</v>
      </c>
      <c r="K1876" s="748">
        <f>'Part VI-Revenues &amp; Expenses'!K161</f>
        <v>780</v>
      </c>
      <c r="N1876" s="748" t="s">
        <v>1921</v>
      </c>
      <c r="P1876" s="748">
        <f>P1877*M1778</f>
        <v>17150</v>
      </c>
    </row>
    <row r="1877" spans="1:16" ht="15.6" customHeight="1">
      <c r="B1877" s="748" t="s">
        <v>1616</v>
      </c>
      <c r="F1877" s="748">
        <f>'Part VI-Revenues &amp; Expenses'!F162</f>
        <v>4285</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8580</v>
      </c>
    </row>
    <row r="1879" spans="1:16" ht="15.6" customHeight="1">
      <c r="B1879" s="748" t="s">
        <v>1457</v>
      </c>
      <c r="F1879" s="748">
        <f>'Part VI-Revenues &amp; Expenses'!F164</f>
        <v>1860</v>
      </c>
    </row>
    <row r="1880" spans="1:16" ht="15.6" customHeight="1">
      <c r="B1880" s="748" t="str">
        <f>'Part VI-Revenues &amp; Expenses'!B165</f>
        <v>Capital budget (per USDA budget)</v>
      </c>
      <c r="F1880" s="748">
        <f>'Part VI-Revenues &amp; Expenses'!F165</f>
        <v>32300</v>
      </c>
      <c r="N1880" s="748" t="s">
        <v>3293</v>
      </c>
    </row>
    <row r="1881" spans="1:16" ht="15.6" customHeight="1">
      <c r="C1881" s="748" t="s">
        <v>249</v>
      </c>
      <c r="F1881" s="748">
        <f>SUM(F1873:G1880)</f>
        <v>47866</v>
      </c>
      <c r="P1881" s="748">
        <f>P1873+P1876</f>
        <v>177183</v>
      </c>
    </row>
    <row r="1882" spans="1:16" ht="10.95" customHeight="1"/>
    <row r="1883" spans="1:16" ht="12" customHeight="1">
      <c r="A1883" s="748" t="s">
        <v>2824</v>
      </c>
      <c r="B1883" s="748" t="s">
        <v>878</v>
      </c>
      <c r="K1883" s="748" t="s">
        <v>821</v>
      </c>
      <c r="L1883" s="748" t="s">
        <v>2896</v>
      </c>
    </row>
    <row r="1884" spans="1:16" ht="51.6" customHeight="1">
      <c r="A1884" s="748" t="str">
        <f>'Part VI-Revenues &amp; Expenses'!A169</f>
        <v>Real Estate Taxes in the above Operating Budget are based on actual taxes from 2010. A copy of the 2010 tax bill for the property is included in Tab 8. Property Insurance in the above Operating Budget is based on actuals for 2010. A copy of the insurance bill is incuded in Tab 8.</v>
      </c>
      <c r="K1884" s="748">
        <f>'Part VI-Revenues &amp; Expenses'!K169</f>
        <v>0</v>
      </c>
    </row>
    <row r="1885" spans="1:16" ht="51.6" customHeight="1">
      <c r="A1885" s="748" t="str">
        <f>'Part VI-Revenues &amp; Expenses'!A170</f>
        <v>The above budgeted operating utilities are based on prior operating history of the property.</v>
      </c>
      <c r="K1885" s="748">
        <f>'Part VI-Revenues &amp; Expenses'!K170</f>
        <v>0</v>
      </c>
    </row>
    <row r="1886" spans="1:16" ht="51.6" customHeight="1">
      <c r="A1886" s="748" t="str">
        <f>'Part VI-Revenues &amp; Expenses'!A171</f>
        <v xml:space="preserve">USDA Rental Assistance is provided for a maximum of 38 units. USDA Rental Assistance is not tied to any one unit and therefore is available on all unit types The above Rent Schedule shows the units, that as of June 2010, have rental assistance on them, which is 38. A copy of the Rental Assistance Agreement is included in Tab 5. USDA Rent Adjustment represents the increased rents that will be provided by USDA to offset the estimated increase in expenses. The rents will be increased annually by a sufficient amount to offset any increase in actual expenses, creating a level income stream for the property. A Letter from USDA confirming this is included in Tab 39.  The 1 Bedroom 50% units have a maximum tax credit rent of $381 however the rental rate on these (4) units is $387. The maximum tax credit rent of $381 is reflected in the Market Study. There are (4) 1 Bedroom Units at 50% AMI. The property has rental assisstance on 38 units and currently (13) 1 Bedrooms are utilizing rental assistance. The current net tenant paid portion of rent on all (13) 1 bedroom units is less than $381.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2011-003 Pecan Point Apartments, ,  County</v>
      </c>
    </row>
    <row r="1891" spans="1:11">
      <c r="A1891" s="748" t="s">
        <v>100</v>
      </c>
      <c r="D1891" s="748" t="s">
        <v>90</v>
      </c>
      <c r="F1891" s="748" t="s">
        <v>4076</v>
      </c>
    </row>
    <row r="1893" spans="1:11">
      <c r="A1893" s="748" t="s">
        <v>3294</v>
      </c>
      <c r="B1893" s="748">
        <v>0.02</v>
      </c>
      <c r="D1893" s="748" t="s">
        <v>1364</v>
      </c>
      <c r="G1893" s="748">
        <f>'Part VII-Pro Forma'!G5</f>
        <v>0</v>
      </c>
      <c r="H1893" s="748" t="s">
        <v>2970</v>
      </c>
      <c r="K1893" s="748" t="str">
        <f>IF(($B$14+$B$15+$B$16+$B$17)=0,"",-B1918/($B$14+$B$15+$B$16+$B$17))</f>
        <v/>
      </c>
    </row>
    <row r="1894" spans="1:11">
      <c r="A1894" s="748" t="s">
        <v>3295</v>
      </c>
      <c r="B1894" s="748">
        <v>0.03</v>
      </c>
      <c r="D1894" s="748" t="s">
        <v>1365</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Yes</v>
      </c>
      <c r="H1896" s="748" t="s">
        <v>2167</v>
      </c>
      <c r="K1896" s="748">
        <f>'Part VII-Pro Forma'!K8</f>
        <v>22592</v>
      </c>
    </row>
    <row r="1897" spans="1:11">
      <c r="A1897" s="748" t="s">
        <v>2128</v>
      </c>
      <c r="B1897" s="748">
        <v>0.02</v>
      </c>
      <c r="D1897" s="748" t="s">
        <v>2742</v>
      </c>
      <c r="G1897" s="748" t="str">
        <f>'Part VII-Pro Forma'!G9</f>
        <v>No</v>
      </c>
      <c r="H1897" s="748" t="s">
        <v>3560</v>
      </c>
      <c r="K1897" s="748">
        <f>'Part VII-Pro Forma'!K9</f>
        <v>0</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-33614</v>
      </c>
      <c r="C1913" s="748">
        <f>'Part VII-Pro Forma'!C25</f>
        <v>-33614</v>
      </c>
      <c r="D1913" s="748">
        <f>'Part VII-Pro Forma'!D25</f>
        <v>-33614</v>
      </c>
      <c r="E1913" s="748">
        <f>'Part VII-Pro Forma'!E25</f>
        <v>-33614</v>
      </c>
      <c r="F1913" s="748">
        <f>'Part VII-Pro Forma'!F25</f>
        <v>-33614</v>
      </c>
      <c r="G1913" s="748">
        <f>'Part VII-Pro Forma'!G25</f>
        <v>-33614</v>
      </c>
      <c r="H1913" s="748">
        <f>'Part VII-Pro Forma'!H25</f>
        <v>-33614</v>
      </c>
      <c r="I1913" s="748">
        <f>'Part VII-Pro Forma'!I25</f>
        <v>-33614</v>
      </c>
      <c r="J1913" s="748">
        <f>'Part VII-Pro Forma'!J25</f>
        <v>-33614</v>
      </c>
      <c r="K1913" s="748">
        <f>'Part VII-Pro Forma'!K25</f>
        <v>-33614</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0</v>
      </c>
      <c r="C1918" s="748">
        <f>'Part VII-Pro Forma'!C30</f>
        <v>0</v>
      </c>
      <c r="D1918" s="748">
        <f>'Part VII-Pro Forma'!D30</f>
        <v>0</v>
      </c>
      <c r="E1918" s="748">
        <f>'Part VII-Pro Forma'!E30</f>
        <v>0</v>
      </c>
      <c r="F1918" s="748">
        <f>'Part VII-Pro Forma'!F30</f>
        <v>0</v>
      </c>
      <c r="G1918" s="748">
        <f>'Part VII-Pro Forma'!G30</f>
        <v>0</v>
      </c>
      <c r="H1918" s="748">
        <f>'Part VII-Pro Forma'!H30</f>
        <v>0</v>
      </c>
      <c r="I1918" s="748">
        <f>'Part VII-Pro Forma'!I30</f>
        <v>0</v>
      </c>
      <c r="J1918" s="748">
        <f>'Part VII-Pro Forma'!J30</f>
        <v>0</v>
      </c>
      <c r="K1918" s="748">
        <f>'Part VII-Pro Forma'!K30</f>
        <v>0</v>
      </c>
    </row>
    <row r="1919" spans="1:11">
      <c r="A1919" s="748" t="s">
        <v>1863</v>
      </c>
      <c r="B1919" s="748">
        <f>'Part VII-Pro Forma'!B31</f>
        <v>-807</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-34421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1181275.3861367132</v>
      </c>
      <c r="C1930" s="748">
        <f>'Part VII-Pro Forma'!C42</f>
        <v>1159373.939536663</v>
      </c>
      <c r="D1930" s="748">
        <f>'Part VII-Pro Forma'!D42</f>
        <v>1137252.4718606961</v>
      </c>
      <c r="E1930" s="748">
        <f>'Part VII-Pro Forma'!E42</f>
        <v>1114908.7727856894</v>
      </c>
      <c r="F1930" s="748">
        <f>'Part VII-Pro Forma'!F42</f>
        <v>1092340.6097837002</v>
      </c>
      <c r="G1930" s="748">
        <f>'Part VII-Pro Forma'!G42</f>
        <v>1069545.7278988976</v>
      </c>
      <c r="H1930" s="748">
        <f>'Part VII-Pro Forma'!H42</f>
        <v>1046521.8495222523</v>
      </c>
      <c r="I1930" s="748">
        <f>'Part VII-Pro Forma'!I42</f>
        <v>1023266.6741639641</v>
      </c>
      <c r="J1930" s="748">
        <f>'Part VII-Pro Forma'!J42</f>
        <v>999777.87822360196</v>
      </c>
      <c r="K1930" s="748">
        <f>'Part VII-Pro Forma'!K42</f>
        <v>976053.11475793598</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0</v>
      </c>
      <c r="C1934" s="748">
        <f>'Part VII-Pro Forma'!C46</f>
        <v>0</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-33614</v>
      </c>
      <c r="C1948" s="748">
        <f>'Part VII-Pro Forma'!C60</f>
        <v>-33614</v>
      </c>
      <c r="D1948" s="748">
        <f>'Part VII-Pro Forma'!D60</f>
        <v>-33614</v>
      </c>
      <c r="E1948" s="748">
        <f>'Part VII-Pro Forma'!E60</f>
        <v>-33614</v>
      </c>
      <c r="F1948" s="748">
        <f>'Part VII-Pro Forma'!F60</f>
        <v>-33614</v>
      </c>
      <c r="G1948" s="748">
        <f>'Part VII-Pro Forma'!G60</f>
        <v>-33614</v>
      </c>
      <c r="H1948" s="748">
        <f>'Part VII-Pro Forma'!H60</f>
        <v>-33614</v>
      </c>
      <c r="I1948" s="748">
        <f>'Part VII-Pro Forma'!I60</f>
        <v>-33614</v>
      </c>
      <c r="J1948" s="748">
        <f>'Part VII-Pro Forma'!J60</f>
        <v>-33614</v>
      </c>
      <c r="K1948" s="748">
        <f>'Part VII-Pro Forma'!K60</f>
        <v>-33614</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0</v>
      </c>
      <c r="C1953" s="748">
        <f>'Part VII-Pro Forma'!C65</f>
        <v>0</v>
      </c>
      <c r="D1953" s="748">
        <f>'Part VII-Pro Forma'!D65</f>
        <v>0</v>
      </c>
      <c r="E1953" s="748">
        <f>'Part VII-Pro Forma'!E65</f>
        <v>0</v>
      </c>
      <c r="F1953" s="748">
        <f>'Part VII-Pro Forma'!F65</f>
        <v>0</v>
      </c>
      <c r="G1953" s="748">
        <f>'Part VII-Pro Forma'!G65</f>
        <v>0</v>
      </c>
      <c r="H1953" s="748">
        <f>'Part VII-Pro Forma'!H65</f>
        <v>0</v>
      </c>
      <c r="I1953" s="748">
        <f>'Part VII-Pro Forma'!I65</f>
        <v>0</v>
      </c>
      <c r="J1953" s="748">
        <f>'Part VII-Pro Forma'!J65</f>
        <v>0</v>
      </c>
      <c r="K1953" s="748">
        <f>'Part VII-Pro Forma'!K65</f>
        <v>0</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952090.01324643625</v>
      </c>
      <c r="C1965" s="748">
        <f>'Part VII-Pro Forma'!C77</f>
        <v>927886.17935441644</v>
      </c>
      <c r="D1965" s="748">
        <f>'Part VII-Pro Forma'!D77</f>
        <v>903439.19469379762</v>
      </c>
      <c r="E1965" s="748">
        <f>'Part VII-Pro Forma'!E77</f>
        <v>878746.61658146873</v>
      </c>
      <c r="F1965" s="748">
        <f>'Part VII-Pro Forma'!F77</f>
        <v>853805.97779521975</v>
      </c>
      <c r="G1965" s="748">
        <f>'Part VII-Pro Forma'!G77</f>
        <v>828614.78632722271</v>
      </c>
      <c r="H1965" s="748">
        <f>'Part VII-Pro Forma'!H77</f>
        <v>803170.52513503679</v>
      </c>
      <c r="I1965" s="748">
        <f>'Part VII-Pro Forma'!I77</f>
        <v>777470.65189011092</v>
      </c>
      <c r="J1965" s="748">
        <f>'Part VII-Pro Forma'!J77</f>
        <v>751512.59872376104</v>
      </c>
      <c r="K1965" s="748">
        <f>'Part VII-Pro Forma'!K77</f>
        <v>725293.77197059465</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-33614</v>
      </c>
      <c r="C1983" s="748">
        <f>'Part VII-Pro Forma'!C95</f>
        <v>-33614</v>
      </c>
      <c r="D1983" s="748">
        <f>'Part VII-Pro Forma'!D95</f>
        <v>-33614</v>
      </c>
      <c r="E1983" s="748">
        <f>'Part VII-Pro Forma'!E95</f>
        <v>-33614</v>
      </c>
      <c r="F1983" s="748">
        <f>'Part VII-Pro Forma'!F95</f>
        <v>-33614</v>
      </c>
      <c r="G1983" s="748">
        <f>'Part VII-Pro Forma'!G95</f>
        <v>-33614</v>
      </c>
      <c r="H1983" s="748">
        <f>'Part VII-Pro Forma'!H95</f>
        <v>-33614</v>
      </c>
      <c r="I1983" s="748">
        <f>'Part VII-Pro Forma'!I95</f>
        <v>-33614</v>
      </c>
      <c r="J1983" s="748">
        <f>'Part VII-Pro Forma'!J95</f>
        <v>-33614</v>
      </c>
      <c r="K1983" s="748">
        <f>'Part VII-Pro Forma'!K95</f>
        <v>-33614</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698811.55190935824</v>
      </c>
      <c r="C2000" s="748">
        <f>'Part VII-Pro Forma'!C112</f>
        <v>672063.2925011809</v>
      </c>
      <c r="D2000" s="748">
        <f>'Part VII-Pro Forma'!D112</f>
        <v>645046.32112518884</v>
      </c>
      <c r="E2000" s="748">
        <f>'Part VII-Pro Forma'!E112</f>
        <v>617757.93831146345</v>
      </c>
      <c r="F2000" s="748">
        <f>'Part VII-Pro Forma'!F112</f>
        <v>590195.41747131699</v>
      </c>
      <c r="G2000" s="748">
        <f>'Part VII-Pro Forma'!G112</f>
        <v>562356.00462485838</v>
      </c>
      <c r="H2000" s="748">
        <f>'Part VII-Pro Forma'!H112</f>
        <v>534236.91812582209</v>
      </c>
      <c r="I2000" s="748">
        <f>'Part VII-Pro Forma'!I112</f>
        <v>505835.34838363325</v>
      </c>
      <c r="J2000" s="748">
        <f>'Part VII-Pro Forma'!J112</f>
        <v>477148.45758267981</v>
      </c>
      <c r="K2000" s="748">
        <f>'Part VII-Pro Forma'!K112</f>
        <v>448173.37939876516</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78500</v>
      </c>
      <c r="C2011" s="748">
        <f>'Part VII-Pro Forma'!C123</f>
        <v>83500</v>
      </c>
      <c r="D2011" s="748">
        <f>'Part VII-Pro Forma'!D123</f>
        <v>88750</v>
      </c>
      <c r="E2011" s="748">
        <f>'Part VII-Pro Forma'!E123</f>
        <v>94250</v>
      </c>
      <c r="F2011" s="748">
        <f>'Part VII-Pro Forma'!F123</f>
        <v>100000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-33614</v>
      </c>
      <c r="C2018" s="748">
        <f>'Part VII-Pro Forma'!C130</f>
        <v>-33614</v>
      </c>
      <c r="D2018" s="748">
        <f>'Part VII-Pro Forma'!D130</f>
        <v>-33614</v>
      </c>
      <c r="E2018" s="748">
        <f>'Part VII-Pro Forma'!E130</f>
        <v>-33614</v>
      </c>
      <c r="F2018" s="748">
        <f>'Part VII-Pro Forma'!F130</f>
        <v>-33614</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0</v>
      </c>
      <c r="C2023" s="748">
        <f>'Part VII-Pro Forma'!C135</f>
        <v>0</v>
      </c>
      <c r="D2023" s="748">
        <f>'Part VII-Pro Forma'!D135</f>
        <v>0</v>
      </c>
      <c r="E2023" s="748">
        <f>'Part VII-Pro Forma'!E135</f>
        <v>0</v>
      </c>
      <c r="F2023" s="748">
        <f>'Part VII-Pro Forma'!F135</f>
        <v>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418907.21871271194</v>
      </c>
      <c r="C2035" s="748">
        <f>'Part VII-Pro Forma'!C147</f>
        <v>389347.05132108869</v>
      </c>
      <c r="D2035" s="748">
        <f>'Part VII-Pro Forma'!D147</f>
        <v>359489.92364403064</v>
      </c>
      <c r="E2035" s="748">
        <f>'Part VII-Pro Forma'!E147</f>
        <v>329332.85243012535</v>
      </c>
      <c r="F2035" s="748">
        <f>'Part VII-Pro Forma'!F147</f>
        <v>298872.8244583332</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t="str">
        <f>'Part VII-Pro Forma'!A155</f>
        <v>The Asset Mangement Fee is built into the Tax Credit Equity price since USDA 515 delas can not afford to pay this fee. Because of this, we are reflecting the fee as $0. The incentive management fee is also reflected as $0. The owner has agreed to waive this fee due to limted cash flow provided by USDA 515 properties.</v>
      </c>
      <c r="G2043" s="748">
        <f>'Part VII-Pro Forma'!G155</f>
        <v>0</v>
      </c>
    </row>
    <row r="2044" spans="1:7">
      <c r="A2044" s="748" t="str">
        <f>'Part VII-Pro Forma'!A156</f>
        <v xml:space="preserve">USDA Rent Adjustment located in the "Other Income Not Subject to the Management Fee" line represents the increased rents that will be provided by USDA to offset the estimated increase in expenses. The rents will be increased annually by a sufficient amount to offset any increase in actual expenses, creating a level income stream for the property. A Letter from USDA confirming this is included in Tab 39.     </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2011-003 Pecan Point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2888</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1076</v>
      </c>
      <c r="O2079" s="748" t="s">
        <v>922</v>
      </c>
      <c r="P2079" s="748" t="str">
        <f>'Part VIII-Threshold Criteria'!P31</f>
        <v>No</v>
      </c>
      <c r="Q2079" s="748">
        <f>'Part VIII-Threshold Criteria'!Q31</f>
        <v>0</v>
      </c>
    </row>
    <row r="2080" spans="1:17">
      <c r="B2080" s="748" t="s">
        <v>3061</v>
      </c>
      <c r="C2080" s="748" t="s">
        <v>1077</v>
      </c>
      <c r="J2080" s="748" t="str">
        <f>'Part VIII-Threshold Criteria'!J32</f>
        <v>&lt;&lt; Select &gt;&gt;</v>
      </c>
    </row>
    <row r="2081" spans="1:17">
      <c r="B2081" s="748" t="s">
        <v>2919</v>
      </c>
    </row>
    <row r="2082" spans="1:17">
      <c r="A2082" s="748">
        <f>'Part VIII-Threshold Criteria'!A34</f>
        <v>0</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681</v>
      </c>
      <c r="O2099" s="748" t="s">
        <v>2921</v>
      </c>
      <c r="P2099" s="748">
        <f>'Part VIII-Threshold Criteria'!P51</f>
        <v>0</v>
      </c>
    </row>
    <row r="2101" spans="1:17">
      <c r="B2101" s="748" t="s">
        <v>3058</v>
      </c>
      <c r="C2101" s="748" t="s">
        <v>4077</v>
      </c>
      <c r="P2101" s="748" t="str">
        <f>'Part VIII-Threshold Criteria'!P53</f>
        <v>Agree</v>
      </c>
      <c r="Q2101" s="748">
        <f>'Part VIII-Threshold Criteria'!Q53</f>
        <v>0</v>
      </c>
    </row>
    <row r="2102" spans="1:17">
      <c r="B2102" s="748" t="s">
        <v>3061</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2844</v>
      </c>
      <c r="O2104" s="748" t="s">
        <v>2764</v>
      </c>
      <c r="P2104" s="748" t="str">
        <f>'Part VIII-Threshold Criteria'!P56</f>
        <v>No</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2919</v>
      </c>
    </row>
    <row r="2107" spans="1:17">
      <c r="A2107" s="748" t="str">
        <f>'Part VIII-Threshold Criteria'!A59</f>
        <v xml:space="preserve">Hallmark Management will identify the needs of the community and provide Social and Recreational Programming. Some examples that will be provided are the following: Birthday parties, Holiday Theme Parties, Resident Forums, etc. </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Real Property Research</v>
      </c>
      <c r="Q2115" s="748">
        <f>'Part VIII-Threshold Criteria'!Q67</f>
        <v>0</v>
      </c>
    </row>
    <row r="2116" spans="1:17">
      <c r="B2116" s="748" t="s">
        <v>3061</v>
      </c>
      <c r="C2116" s="748" t="s">
        <v>3116</v>
      </c>
      <c r="L2116" s="748" t="s">
        <v>3061</v>
      </c>
      <c r="M2116" s="748" t="str">
        <f>'Part VIII-Threshold Criteria'!M68</f>
        <v>2 months</v>
      </c>
      <c r="Q2116" s="748">
        <f>'Part VIII-Threshold Criteria'!Q68</f>
        <v>0</v>
      </c>
    </row>
    <row r="2117" spans="1:17">
      <c r="B2117" s="748" t="s">
        <v>1237</v>
      </c>
      <c r="C2117" s="748" t="s">
        <v>3729</v>
      </c>
      <c r="L2117" s="748" t="s">
        <v>1237</v>
      </c>
      <c r="M2117" s="748" t="str">
        <f>'Part VIII-Threshold Criteria'!M69</f>
        <v>2 months</v>
      </c>
      <c r="Q2117" s="748">
        <f>'Part VIII-Threshold Criteria'!Q69</f>
        <v>0</v>
      </c>
    </row>
    <row r="2118" spans="1:17">
      <c r="B2118" s="748" t="s">
        <v>3210</v>
      </c>
      <c r="C2118" s="748" t="s">
        <v>3730</v>
      </c>
      <c r="L2118" s="748" t="s">
        <v>3210</v>
      </c>
      <c r="M2118" s="748">
        <f>'Part VIII-Threshold Criteria'!M70</f>
        <v>5.8000000000000003E-2</v>
      </c>
      <c r="Q2118" s="748">
        <f>'Part VIII-Threshold Criteria'!Q70</f>
        <v>0</v>
      </c>
    </row>
    <row r="2119" spans="1:17">
      <c r="B2119" s="748" t="s">
        <v>2761</v>
      </c>
      <c r="C2119" s="748" t="s">
        <v>3554</v>
      </c>
      <c r="O2119" s="748" t="s">
        <v>2761</v>
      </c>
      <c r="P2119" s="748" t="str">
        <f>'Part VIII-Threshold Criteria'!P71</f>
        <v>Yes</v>
      </c>
      <c r="Q2119" s="748">
        <f>'Part VIII-Threshold Criteria'!Q71</f>
        <v>0</v>
      </c>
    </row>
    <row r="2120" spans="1:17">
      <c r="D2120" s="748" t="s">
        <v>3591</v>
      </c>
      <c r="E2120" s="748" t="s">
        <v>950</v>
      </c>
      <c r="H2120" s="748" t="s">
        <v>3591</v>
      </c>
      <c r="I2120" s="748" t="s">
        <v>950</v>
      </c>
      <c r="L2120" s="748" t="s">
        <v>3591</v>
      </c>
      <c r="M2120" s="748" t="s">
        <v>950</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2919</v>
      </c>
    </row>
    <row r="2126" spans="1:17">
      <c r="A2126" s="748" t="str">
        <f>'Part VIII-Threshold Criteria'!A78</f>
        <v>4.E. There are no LIHTC projects within 10 miles of this community</v>
      </c>
    </row>
    <row r="2127" spans="1:17">
      <c r="A2127" s="748" t="str">
        <f>'Part VIII-Threshold Criteria'!A79</f>
        <v xml:space="preserve">4.F. The 1 Bedroom 50% units have a maximum tax credit rent of $381 however the rental rate on these (4) units is $387 per the Revenues &amp; Expenses Tab. The maximum tax credit rent of $381 is reflected in the Market Study. There are (4) 1 Bedroom Units at 50% AMI. The property has rental assisstance on 38 units and currently (13) 1 Bedrooms are utilizing rental assistance. The current net tenant paid portion of rent on all (13) 1 bedroom units is less than $381. </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728</v>
      </c>
      <c r="O2133" s="748" t="s">
        <v>3058</v>
      </c>
      <c r="P2133" s="748" t="str">
        <f>'Part VIII-Threshold Criteria'!P85</f>
        <v>Yes</v>
      </c>
      <c r="Q2133" s="748">
        <f>'Part VIII-Threshold Criteria'!Q85</f>
        <v>0</v>
      </c>
    </row>
    <row r="2134" spans="1:17">
      <c r="B2134" s="748" t="s">
        <v>3061</v>
      </c>
      <c r="C2134" s="748" t="s">
        <v>2004</v>
      </c>
      <c r="O2134" s="748" t="s">
        <v>3061</v>
      </c>
      <c r="P2134" s="748" t="str">
        <f>'Part VIII-Threshold Criteria'!P86</f>
        <v>Yes</v>
      </c>
      <c r="Q2134" s="748">
        <f>'Part VIII-Threshold Criteria'!Q86</f>
        <v>0</v>
      </c>
    </row>
    <row r="2135" spans="1:17">
      <c r="D2135" s="748" t="s">
        <v>848</v>
      </c>
      <c r="K2135" s="748" t="s">
        <v>849</v>
      </c>
      <c r="M2135" s="748" t="str">
        <f>'Part VIII-Threshold Criteria'!M87</f>
        <v>Decker Dickson / CB Richard Ellis</v>
      </c>
      <c r="Q2135" s="748">
        <f>'Part VIII-Threshold Criteria'!Q87</f>
        <v>0</v>
      </c>
    </row>
    <row r="2136" spans="1:17">
      <c r="C2136" s="748" t="s">
        <v>2763</v>
      </c>
      <c r="D2136" s="748" t="s">
        <v>678</v>
      </c>
      <c r="O2136" s="748" t="s">
        <v>2763</v>
      </c>
      <c r="P2136" s="748" t="str">
        <f>'Part VIII-Threshold Criteria'!P88</f>
        <v>No</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3210</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2919</v>
      </c>
    </row>
    <row r="2145" spans="1:17">
      <c r="A2145" s="748" t="str">
        <f>'Part VIII-Threshold Criteria'!A97</f>
        <v>5.B.1 The Appraisal includes the as-is value with land broken out as required in Threshold Section 5.A Identity of Interest. The as built/as complete (encumbered). As-built/as complete (unencumbered) values and the tax credit value are not applicable to this application since this application is not seeking HOME funds.</v>
      </c>
    </row>
    <row r="2146" spans="1:17">
      <c r="A2146" s="748" t="str">
        <f>'Part VIII-Threshold Criteria'!A98</f>
        <v>5.B.3. This project is not seeking HOME funds and therefore, this requirement is not applicable to this application</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Geotechnical &amp; Environmental, Inc</v>
      </c>
      <c r="Q2153" s="748">
        <f>'Part VIII-Threshold Criteria'!Q105</f>
        <v>0</v>
      </c>
    </row>
    <row r="2154" spans="1:17">
      <c r="B2154" s="748" t="s">
        <v>3061</v>
      </c>
      <c r="C2154" s="748" t="s">
        <v>2290</v>
      </c>
      <c r="O2154" s="748" t="s">
        <v>3061</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2841</v>
      </c>
      <c r="P2156" s="748">
        <f>'Part VIII-Threshold Criteria'!P108</f>
        <v>51.1</v>
      </c>
      <c r="Q2156" s="748">
        <f>'Part VIII-Threshold Criteria'!Q108</f>
        <v>0</v>
      </c>
    </row>
    <row r="2157" spans="1:17">
      <c r="C2157" s="748" t="s">
        <v>2088</v>
      </c>
    </row>
    <row r="2158" spans="1:17">
      <c r="C2158" s="748" t="str">
        <f>'Part VIII-Threshold Criteria'!C110</f>
        <v>Railway, Road, Aircraft</v>
      </c>
    </row>
    <row r="2159" spans="1:17">
      <c r="B2159" s="748" t="s">
        <v>3210</v>
      </c>
      <c r="C2159" s="748" t="s">
        <v>1943</v>
      </c>
      <c r="O2159" s="748" t="s">
        <v>3210</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725</v>
      </c>
      <c r="O2169" s="748" t="s">
        <v>3569</v>
      </c>
      <c r="P2169" s="748" t="str">
        <f>'Part VIII-Threshold Criteria'!P121</f>
        <v>No</v>
      </c>
      <c r="Q2169" s="748">
        <f>'Part VIII-Threshold Criteria'!Q121</f>
        <v>0</v>
      </c>
    </row>
    <row r="2170" spans="2:17">
      <c r="B2170" s="748" t="s">
        <v>2761</v>
      </c>
      <c r="C2170" s="748" t="s">
        <v>3656</v>
      </c>
      <c r="O2170" s="748" t="s">
        <v>2761</v>
      </c>
      <c r="P2170" s="748" t="str">
        <f>'Part VIII-Threshold Criteria'!P122</f>
        <v>No</v>
      </c>
      <c r="Q2170" s="748">
        <f>'Part VIII-Threshold Criteria'!Q122</f>
        <v>0</v>
      </c>
    </row>
    <row r="2171" spans="2:17">
      <c r="C2171" s="748" t="s">
        <v>2763</v>
      </c>
      <c r="D2171" s="748" t="s">
        <v>3657</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3619</v>
      </c>
      <c r="N2171" s="748" t="str">
        <f>'Part VIII-Threshold Criteria'!N123</f>
        <v>No</v>
      </c>
      <c r="O2171" s="748">
        <f>'Part VIII-Threshold Criteria'!O123</f>
        <v>0</v>
      </c>
    </row>
    <row r="2172" spans="2:17">
      <c r="C2172" s="748" t="s">
        <v>2764</v>
      </c>
      <c r="D2172" s="748" t="s">
        <v>3773</v>
      </c>
      <c r="F2172" s="748" t="str">
        <f>'Part VIII-Threshold Criteria'!F124</f>
        <v>No</v>
      </c>
      <c r="G2172" s="748">
        <f>'Part VIII-Threshold Criteria'!G124</f>
        <v>0</v>
      </c>
      <c r="H2172" s="748" t="s">
        <v>3569</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t="str">
        <f>'Part VIII-Threshold Criteria'!J125</f>
        <v>None</v>
      </c>
    </row>
    <row r="2174" spans="2:17">
      <c r="B2174" s="748" t="s">
        <v>2762</v>
      </c>
      <c r="C2174" s="748" t="s">
        <v>1982</v>
      </c>
      <c r="O2174" s="748" t="s">
        <v>2762</v>
      </c>
      <c r="P2174" s="748" t="str">
        <f>'Part VIII-Threshold Criteria'!P126</f>
        <v>N/A</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3018</v>
      </c>
      <c r="C2178" s="748" t="s">
        <v>2780</v>
      </c>
      <c r="O2178" s="748" t="s">
        <v>3018</v>
      </c>
      <c r="P2178" s="748" t="str">
        <f>'Part VIII-Threshold Criteria'!P130</f>
        <v>N/A</v>
      </c>
      <c r="Q2178" s="748">
        <f>'Part VIII-Threshold Criteria'!Q130</f>
        <v>0</v>
      </c>
    </row>
    <row r="2180" spans="1:17">
      <c r="B2180" s="748" t="s">
        <v>2919</v>
      </c>
    </row>
    <row r="2181" spans="1:17">
      <c r="A2181" s="748">
        <f>'Part VIII-Threshold Criteria'!A133</f>
        <v>0</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Pecan Point Apartments HP Partners, LP</v>
      </c>
      <c r="P2192" s="748" t="str">
        <f>'Part VIII-Threshold Criteria'!P144</f>
        <v>Yes</v>
      </c>
      <c r="Q2192" s="748">
        <f>'Part VIII-Threshold Criteria'!Q144</f>
        <v>0</v>
      </c>
    </row>
    <row r="2193" spans="1:17">
      <c r="B2193" s="748" t="s">
        <v>2919</v>
      </c>
    </row>
    <row r="2194" spans="1:17">
      <c r="A2194" s="748" t="str">
        <f>'Part VIII-Threshold Criteria'!A146</f>
        <v>Applicant has site control until August 31, 2012.</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Documentation regarding the site being accessible by a paved road is included in Tab 13</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720</v>
      </c>
      <c r="O2212" s="748" t="s">
        <v>3061</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3210</v>
      </c>
      <c r="C2214" s="748" t="s">
        <v>928</v>
      </c>
      <c r="O2214" s="748" t="s">
        <v>3210</v>
      </c>
      <c r="P2214" s="748" t="str">
        <f>'Part VIII-Threshold Criteria'!P166</f>
        <v>Yes</v>
      </c>
      <c r="Q2214" s="748">
        <f>'Part VIII-Threshold Criteria'!Q166</f>
        <v>0</v>
      </c>
    </row>
    <row r="2215" spans="1:17">
      <c r="B2215" s="748" t="s">
        <v>2761</v>
      </c>
      <c r="C2215" s="748" t="s">
        <v>3592</v>
      </c>
      <c r="O2215" s="748" t="s">
        <v>2761</v>
      </c>
      <c r="P2215" s="748" t="str">
        <f>'Part VIII-Threshold Criteria'!P167</f>
        <v>Yes</v>
      </c>
      <c r="Q2215" s="748">
        <f>'Part VIII-Threshold Criteria'!Q167</f>
        <v>0</v>
      </c>
    </row>
    <row r="2216" spans="1:17">
      <c r="B2216" s="748" t="s">
        <v>2919</v>
      </c>
    </row>
    <row r="2217" spans="1:17">
      <c r="A2217" s="748" t="str">
        <f>'Part VIII-Threshold Criteria'!A169</f>
        <v>The property is an exisiting apartment community. The property is zoned R2. Per the zoning letter, it is permissible to rehab these apartments under the City of Cochran's codes. A copy of the zoning letter is included in Tab 14.</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2763</v>
      </c>
      <c r="I2224" s="748" t="s">
        <v>206</v>
      </c>
      <c r="J2224" s="748" t="str">
        <f>'Part VIII-Threshold Criteria'!J176</f>
        <v>N/A</v>
      </c>
      <c r="O2224" s="748" t="s">
        <v>2763</v>
      </c>
      <c r="P2224" s="748">
        <f>'Part VIII-Threshold Criteria'!P176</f>
        <v>0</v>
      </c>
      <c r="Q2224" s="748">
        <f>'Part VIII-Threshold Criteria'!Q176</f>
        <v>0</v>
      </c>
    </row>
    <row r="2225" spans="1:17">
      <c r="H2225" s="748" t="s">
        <v>2764</v>
      </c>
      <c r="I2225" s="748" t="s">
        <v>2356</v>
      </c>
      <c r="J2225" s="748" t="str">
        <f>'Part VIII-Threshold Criteria'!J177</f>
        <v>GA Power</v>
      </c>
      <c r="O2225" s="748" t="s">
        <v>2764</v>
      </c>
      <c r="P2225" s="748" t="str">
        <f>'Part VIII-Threshold Criteria'!P177</f>
        <v>Yes</v>
      </c>
      <c r="Q2225" s="748">
        <f>'Part VIII-Threshold Criteria'!Q177</f>
        <v>0</v>
      </c>
    </row>
    <row r="2226" spans="1:17">
      <c r="B2226" s="748" t="s">
        <v>2919</v>
      </c>
    </row>
    <row r="2227" spans="1:17">
      <c r="A2227" s="748" t="str">
        <f>'Part VIII-Threshold Criteria'!A179</f>
        <v>Project is currently all electric (NO GAS) and after rehabilitation, will remain all electric (NO GAS). Electricity is currently on our site. The Availability Letter is included in Tab 15.</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3061</v>
      </c>
      <c r="C2235" s="748" t="s">
        <v>2901</v>
      </c>
      <c r="H2235" s="748" t="s">
        <v>2763</v>
      </c>
      <c r="I2235" s="748" t="s">
        <v>970</v>
      </c>
      <c r="J2235" s="748" t="str">
        <f>'Part VIII-Threshold Criteria'!J187</f>
        <v>City of Cochran</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Cochran</v>
      </c>
      <c r="O2236" s="748" t="s">
        <v>2764</v>
      </c>
      <c r="P2236" s="748" t="str">
        <f>'Part VIII-Threshold Criteria'!P188</f>
        <v>Yes</v>
      </c>
      <c r="Q2236" s="748">
        <f>'Part VIII-Threshold Criteria'!Q188</f>
        <v>0</v>
      </c>
    </row>
    <row r="2237" spans="1:17">
      <c r="B2237" s="748" t="s">
        <v>2919</v>
      </c>
    </row>
    <row r="2238" spans="1:17">
      <c r="A2238" s="748">
        <f>'Part VIII-Threshold Criteria'!A190</f>
        <v>0</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3210</v>
      </c>
      <c r="C2247" s="748" t="s">
        <v>196</v>
      </c>
      <c r="O2247" s="748" t="s">
        <v>3210</v>
      </c>
      <c r="P2247" s="748" t="str">
        <f>'Part VIII-Threshold Criteria'!P199</f>
        <v>No</v>
      </c>
      <c r="Q2247" s="748">
        <f>'Part VIII-Threshold Criteria'!Q199</f>
        <v>0</v>
      </c>
    </row>
    <row r="2248" spans="1:17">
      <c r="B2248" s="748" t="s">
        <v>2919</v>
      </c>
    </row>
    <row r="2249" spans="1:17">
      <c r="A2249" s="748" t="str">
        <f>'Part VIII-Threshold Criteria'!A201</f>
        <v>Documentation regarding local government support and community engagement is located in Tab 16</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1837</v>
      </c>
      <c r="P2257" s="748" t="str">
        <f>'Part VIII-Threshold Criteria'!P209</f>
        <v>No</v>
      </c>
      <c r="Q2257" s="748">
        <f>'Part VIII-Threshold Criteria'!Q209</f>
        <v>0</v>
      </c>
    </row>
    <row r="2258" spans="2:17">
      <c r="B2258" s="748" t="s">
        <v>3058</v>
      </c>
      <c r="C2258" s="748" t="s">
        <v>2085</v>
      </c>
    </row>
    <row r="2259" spans="2:17">
      <c r="C2259" s="748" t="s">
        <v>2763</v>
      </c>
      <c r="D2259" s="748" t="s">
        <v>3001</v>
      </c>
      <c r="L2259" s="748" t="s">
        <v>2229</v>
      </c>
      <c r="M2259" s="748" t="str">
        <f>'Part VIII-Threshold Criteria'!M211</f>
        <v>Building</v>
      </c>
      <c r="P2259" s="748" t="str">
        <f>'Part VIII-Threshold Criteria'!P211</f>
        <v>Agree</v>
      </c>
      <c r="Q2259" s="748">
        <f>'Part VIII-Threshold Criteria'!Q211</f>
        <v>0</v>
      </c>
    </row>
    <row r="2260" spans="2:17">
      <c r="C2260" s="748" t="s">
        <v>2764</v>
      </c>
      <c r="D2260" s="748" t="s">
        <v>198</v>
      </c>
      <c r="L2260" s="748" t="s">
        <v>2230</v>
      </c>
      <c r="M2260" s="748" t="str">
        <f>'Part VIII-Threshold Criteria'!M212</f>
        <v>Gazebo</v>
      </c>
      <c r="P2260" s="748" t="str">
        <f>'Part VIII-Threshold Criteria'!P212</f>
        <v>Agree</v>
      </c>
      <c r="Q2260" s="748">
        <f>'Part VIII-Threshold Criteria'!Q212</f>
        <v>0</v>
      </c>
    </row>
    <row r="2261" spans="2:17">
      <c r="C2261" s="748" t="s">
        <v>2765</v>
      </c>
      <c r="D2261" s="748" t="s">
        <v>854</v>
      </c>
      <c r="L2261" s="748" t="s">
        <v>2231</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4078</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Equipped Playground</v>
      </c>
      <c r="I2266" s="748">
        <f>'Part VIII-Threshold Criteria'!I218</f>
        <v>0</v>
      </c>
      <c r="J2266" s="748">
        <f>'Part VIII-Threshold Criteria'!J218</f>
        <v>0</v>
      </c>
      <c r="K2266" s="748" t="s">
        <v>2765</v>
      </c>
      <c r="L2266" s="748">
        <f>'Part VIII-Threshold Criteria'!L218</f>
        <v>0</v>
      </c>
      <c r="P2266" s="748">
        <f>'Part VIII-Threshold Criteria'!P218</f>
        <v>0</v>
      </c>
      <c r="Q2266" s="748">
        <f>'Part VIII-Threshold Criteria'!Q218</f>
        <v>0</v>
      </c>
    </row>
    <row r="2267" spans="2:17">
      <c r="C2267" s="748" t="s">
        <v>2764</v>
      </c>
      <c r="D2267" s="748" t="str">
        <f>'Part VIII-Threshold Criteria'!D219</f>
        <v>Equipped Computer Center</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f>'Part VIII-Threshold Criteria'!P227</f>
        <v>0</v>
      </c>
      <c r="Q2275" s="748">
        <f>'Part VIII-Threshold Criteria'!Q227</f>
        <v>0</v>
      </c>
    </row>
    <row r="2277" spans="1:17">
      <c r="B2277" s="748" t="s">
        <v>3210</v>
      </c>
      <c r="C2277" s="748" t="s">
        <v>2343</v>
      </c>
      <c r="O2277" s="748" t="s">
        <v>3210</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3579</v>
      </c>
      <c r="P2280" s="748">
        <f>'Part VIII-Threshold Criteria'!P232</f>
        <v>0</v>
      </c>
      <c r="Q2280" s="748">
        <f>'Part VIII-Threshold Criteria'!Q232</f>
        <v>0</v>
      </c>
    </row>
    <row r="2281" spans="1:17">
      <c r="D2281" s="748" t="s">
        <v>1983</v>
      </c>
      <c r="O2281" s="748" t="s">
        <v>3580</v>
      </c>
      <c r="P2281" s="748">
        <f>'Part VIII-Threshold Criteria'!P233</f>
        <v>0</v>
      </c>
      <c r="Q2281" s="748">
        <f>'Part VIII-Threshold Criteria'!Q233</f>
        <v>0</v>
      </c>
    </row>
    <row r="2282" spans="1:17">
      <c r="B2282" s="748" t="s">
        <v>2919</v>
      </c>
    </row>
    <row r="2283" spans="1:17">
      <c r="A2283" s="748">
        <f>'Part VIII-Threshold Criteria'!A235</f>
        <v>0</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1951</v>
      </c>
      <c r="L2291" s="748" t="s">
        <v>3058</v>
      </c>
      <c r="M2291" s="748" t="str">
        <f>'Part VIII-Threshold Criteria'!M243</f>
        <v>Wholesale</v>
      </c>
      <c r="P2291" s="748" t="str">
        <f>'Part VIII-Threshold Criteria'!P243</f>
        <v>&lt;&lt;Select&gt;&gt;</v>
      </c>
    </row>
    <row r="2292" spans="1:17">
      <c r="B2292" s="748" t="s">
        <v>3061</v>
      </c>
      <c r="C2292" s="748" t="s">
        <v>1920</v>
      </c>
      <c r="L2292" s="748" t="s">
        <v>3061</v>
      </c>
      <c r="M2292" s="748">
        <f>'Part VIII-Threshold Criteria'!M244</f>
        <v>40708</v>
      </c>
      <c r="P2292" s="748">
        <f>'Part VIII-Threshold Criteria'!P244</f>
        <v>0</v>
      </c>
    </row>
    <row r="2293" spans="1:17">
      <c r="B2293" s="748" t="s">
        <v>1237</v>
      </c>
      <c r="C2293" s="748" t="s">
        <v>3015</v>
      </c>
      <c r="L2293" s="748" t="s">
        <v>1237</v>
      </c>
      <c r="M2293" s="748" t="str">
        <f>'Part VIII-Threshold Criteria'!M245</f>
        <v>Ray Engineering, Inc.</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2761</v>
      </c>
      <c r="C2295" s="748" t="s">
        <v>4079</v>
      </c>
      <c r="O2295" s="748" t="s">
        <v>2761</v>
      </c>
      <c r="P2295" s="748" t="str">
        <f>'Part VIII-Threshold Criteria'!P247</f>
        <v>Agree</v>
      </c>
      <c r="Q2295" s="748">
        <f>'Part VIII-Threshold Criteria'!Q247</f>
        <v>0</v>
      </c>
    </row>
    <row r="2296" spans="1:17">
      <c r="B2296" s="748" t="s">
        <v>2919</v>
      </c>
    </row>
    <row r="2297" spans="1:17">
      <c r="A2297" s="748">
        <f>'Part VIII-Threshold Criteria'!A249</f>
        <v>0</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2112</v>
      </c>
      <c r="O2306" s="748" t="s">
        <v>3061</v>
      </c>
      <c r="P2306" s="748" t="str">
        <f>'Part VIII-Threshold Criteria'!P258</f>
        <v>Yes</v>
      </c>
      <c r="Q2306" s="748">
        <f>'Part VIII-Threshold Criteria'!Q258</f>
        <v>0</v>
      </c>
    </row>
    <row r="2307" spans="1:17">
      <c r="B2307" s="748" t="s">
        <v>2919</v>
      </c>
    </row>
    <row r="2308" spans="1:17">
      <c r="A2308" s="748">
        <f>'Part VIII-Threshold Criteria'!A260</f>
        <v>0</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1088</v>
      </c>
      <c r="O2314" s="748" t="s">
        <v>2921</v>
      </c>
      <c r="P2314" s="748">
        <f>'Part VIII-Threshold Criteria'!P266</f>
        <v>0</v>
      </c>
    </row>
    <row r="2316" spans="1:17" ht="24" customHeight="1">
      <c r="B2316" s="748" t="s">
        <v>3058</v>
      </c>
      <c r="C2316" s="748" t="s">
        <v>1206</v>
      </c>
      <c r="O2316" s="748" t="s">
        <v>3058</v>
      </c>
      <c r="P2316" s="748" t="str">
        <f>'Part VIII-Threshold Criteria'!P268</f>
        <v>Agree</v>
      </c>
      <c r="Q2316" s="748">
        <f>'Part VIII-Threshold Criteria'!Q268</f>
        <v>0</v>
      </c>
    </row>
    <row r="2317" spans="1:17" ht="24" customHeight="1">
      <c r="B2317" s="748" t="s">
        <v>3061</v>
      </c>
      <c r="C2317" s="748" t="s">
        <v>1207</v>
      </c>
      <c r="O2317" s="748" t="s">
        <v>3061</v>
      </c>
      <c r="P2317" s="748" t="str">
        <f>'Part VIII-Threshold Criteria'!P269</f>
        <v>Agree</v>
      </c>
      <c r="Q2317" s="748">
        <f>'Part VIII-Threshold Criteria'!Q269</f>
        <v>0</v>
      </c>
    </row>
    <row r="2318" spans="1:17" ht="33" customHeight="1">
      <c r="B2318" s="748" t="s">
        <v>1237</v>
      </c>
      <c r="C2318" s="748" t="s">
        <v>1208</v>
      </c>
      <c r="O2318" s="748" t="s">
        <v>3061</v>
      </c>
      <c r="P2318" s="748">
        <f>'Part VIII-Threshold Criteria'!P270</f>
        <v>0</v>
      </c>
      <c r="Q2318" s="748">
        <f>'Part VIII-Threshold Criteria'!Q270</f>
        <v>0</v>
      </c>
    </row>
    <row r="2319" spans="1:17">
      <c r="B2319" s="748" t="s">
        <v>2919</v>
      </c>
    </row>
    <row r="2320" spans="1:17">
      <c r="A2320" s="748">
        <f>'Part VIII-Threshold Criteria'!A272</f>
        <v>0</v>
      </c>
    </row>
    <row r="2321" spans="1:17">
      <c r="A2321" s="748">
        <f>'Part VIII-Threshold Criteria'!A273</f>
        <v>0</v>
      </c>
    </row>
    <row r="2322" spans="1:17">
      <c r="B2322" s="748" t="s">
        <v>2920</v>
      </c>
    </row>
    <row r="2323" spans="1:17">
      <c r="A2323" s="748">
        <f>'Part VIII-Threshold Criteria'!A275</f>
        <v>0</v>
      </c>
    </row>
    <row r="2324" spans="1:17">
      <c r="A2324" s="748">
        <f>'Part VIII-Threshold Criteria'!A276</f>
        <v>0</v>
      </c>
    </row>
    <row r="2326" spans="1:17">
      <c r="A2326" s="748">
        <v>17</v>
      </c>
      <c r="B2326" s="748" t="s">
        <v>876</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1237</v>
      </c>
      <c r="C2329" s="748" t="s">
        <v>2886</v>
      </c>
      <c r="O2329" s="748" t="s">
        <v>1237</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2919</v>
      </c>
    </row>
    <row r="2333" spans="1:17">
      <c r="A2333" s="748">
        <f>'Part VIII-Threshold Criteria'!A285</f>
        <v>0</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Yes</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1080</v>
      </c>
      <c r="O2342" s="748" t="s">
        <v>3058</v>
      </c>
      <c r="P2342" s="748" t="str">
        <f>'Part VIII-Threshold Criteria'!P294</f>
        <v>Yes</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2" customHeight="1">
      <c r="C2346" s="748" t="s">
        <v>2764</v>
      </c>
      <c r="D2346" s="748" t="s">
        <v>4080</v>
      </c>
      <c r="G2346" s="748" t="str">
        <f>'Part VIII-Threshold Criteria'!G298</f>
        <v>Addition of decorative elements</v>
      </c>
      <c r="O2346" s="748" t="s">
        <v>2764</v>
      </c>
      <c r="P2346" s="748" t="str">
        <f>'Part VIII-Threshold Criteria'!P298</f>
        <v>Yes</v>
      </c>
      <c r="Q2346" s="748">
        <f>'Part VIII-Threshold Criteria'!Q298</f>
        <v>0</v>
      </c>
    </row>
    <row r="2347" spans="1:17" ht="13.2" customHeight="1">
      <c r="G2347" s="748" t="str">
        <f>'Part VIII-Threshold Criteria'!G299</f>
        <v>Addition of or the redesign of existing covered entries</v>
      </c>
      <c r="P2347" s="748" t="str">
        <f>'Part VIII-Threshold Criteria'!P299</f>
        <v>Yes</v>
      </c>
      <c r="Q2347" s="748">
        <f>'Part VIII-Threshold Criteria'!Q299</f>
        <v>0</v>
      </c>
    </row>
    <row r="2348" spans="1:17" ht="13.2"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2" customHeight="1">
      <c r="C2349" s="748" t="s">
        <v>3569</v>
      </c>
      <c r="D2349" s="748" t="s">
        <v>4081</v>
      </c>
      <c r="G2349" s="748" t="str">
        <f>'Part VIII-Threshold Criteria'!G301</f>
        <v>Site entry w/ permanent, illuminated entry sign and decorative fence</v>
      </c>
      <c r="O2349" s="748" t="s">
        <v>3569</v>
      </c>
      <c r="P2349" s="748" t="str">
        <f>'Part VIII-Threshold Criteria'!P301</f>
        <v>Yes</v>
      </c>
      <c r="Q2349" s="748">
        <f>'Part VIII-Threshold Criteria'!Q301</f>
        <v>0</v>
      </c>
    </row>
    <row r="2350" spans="1:17" ht="13.2" customHeight="1">
      <c r="G2350" s="748" t="str">
        <f>'Part VIII-Threshold Criteria'!G302</f>
        <v>Freestanding shelters</v>
      </c>
      <c r="P2350" s="748" t="str">
        <f>'Part VIII-Threshold Criteria'!P302</f>
        <v>Yes</v>
      </c>
      <c r="Q2350" s="748">
        <f>'Part VIII-Threshold Criteria'!Q302</f>
        <v>0</v>
      </c>
    </row>
    <row r="2352" spans="1:17">
      <c r="B2352" s="748" t="s">
        <v>2919</v>
      </c>
    </row>
    <row r="2353" spans="1:17">
      <c r="A2353" s="748">
        <f>'Part VIII-Threshold Criteria'!A305</f>
        <v>0</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f>'Part VIII-Threshold Criteria'!A319</f>
        <v>0</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2542</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3210</v>
      </c>
      <c r="C2380" s="748" t="s">
        <v>1057</v>
      </c>
      <c r="O2380" s="748" t="s">
        <v>3210</v>
      </c>
      <c r="P2380" s="748" t="str">
        <f>'Part VIII-Threshold Criteria'!P332</f>
        <v>Yes</v>
      </c>
      <c r="Q2380" s="748">
        <f>'Part VIII-Threshold Criteria'!Q332</f>
        <v>0</v>
      </c>
    </row>
    <row r="2381" spans="1:17">
      <c r="B2381" s="748" t="s">
        <v>2919</v>
      </c>
    </row>
    <row r="2382" spans="1:17">
      <c r="A2382" s="748" t="str">
        <f>'Part VIII-Threshold Criteria'!A334</f>
        <v>20.B. Authorized information release received by DCA is located in Tab 38.</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1552</v>
      </c>
      <c r="O2389" s="748" t="s">
        <v>2921</v>
      </c>
      <c r="P2389" s="748">
        <f>'Part VIII-Threshold Criteria'!P341</f>
        <v>0</v>
      </c>
    </row>
    <row r="2390" spans="1:17">
      <c r="B2390" s="748" t="s">
        <v>3058</v>
      </c>
      <c r="C2390" s="748" t="s">
        <v>2082</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2919</v>
      </c>
    </row>
    <row r="2397" spans="1:17">
      <c r="A2397" s="748" t="str">
        <f>'Part VIII-Threshold Criteria'!A349</f>
        <v>This section is not applicable to this application</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1656</v>
      </c>
      <c r="J2402" s="748" t="s">
        <v>3058</v>
      </c>
      <c r="K2402" s="748">
        <f>'Part VIII-Threshold Criteria'!K354</f>
        <v>0</v>
      </c>
      <c r="P2402" s="748">
        <f>'Part VIII-Threshold Criteria'!P354</f>
        <v>0</v>
      </c>
      <c r="Q2402" s="748">
        <f>'Part VIII-Threshold Criteria'!Q354</f>
        <v>0</v>
      </c>
    </row>
    <row r="2403" spans="1:17">
      <c r="B2403" s="748" t="s">
        <v>3061</v>
      </c>
      <c r="C2403" s="748" t="s">
        <v>2766</v>
      </c>
      <c r="O2403" s="748" t="s">
        <v>3061</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3018</v>
      </c>
      <c r="C2408" s="748" t="s">
        <v>850</v>
      </c>
      <c r="O2408" s="748" t="s">
        <v>3018</v>
      </c>
      <c r="P2408" s="748">
        <f>'Part VIII-Threshold Criteria'!P360</f>
        <v>0</v>
      </c>
      <c r="Q2408" s="748">
        <f>'Part VIII-Threshold Criteria'!Q360</f>
        <v>0</v>
      </c>
    </row>
    <row r="2409" spans="1:17">
      <c r="B2409" s="748" t="s">
        <v>2919</v>
      </c>
    </row>
    <row r="2410" spans="1:17">
      <c r="A2410" s="748" t="str">
        <f>'Part VIII-Threshold Criteria'!A362</f>
        <v>This section is not applicable to this application</v>
      </c>
    </row>
    <row r="2411" spans="1:17">
      <c r="B2411" s="748" t="s">
        <v>2920</v>
      </c>
    </row>
    <row r="2412" spans="1:17">
      <c r="A2412" s="748">
        <f>'Part VIII-Threshold Criteria'!A364</f>
        <v>0</v>
      </c>
    </row>
    <row r="2414" spans="1:17">
      <c r="A2414" s="748">
        <v>23</v>
      </c>
      <c r="B2414" s="748" t="s">
        <v>1081</v>
      </c>
      <c r="O2414" s="748" t="s">
        <v>2921</v>
      </c>
      <c r="P2414" s="748">
        <f>'Part VIII-Threshold Criteria'!P366</f>
        <v>0</v>
      </c>
    </row>
    <row r="2415" spans="1:17">
      <c r="B2415" s="748" t="s">
        <v>3058</v>
      </c>
      <c r="C2415" s="748" t="s">
        <v>4082</v>
      </c>
      <c r="M2415" s="748" t="s">
        <v>3058</v>
      </c>
      <c r="N2415" s="748" t="str">
        <f>'Part VIII-Threshold Criteria'!N367</f>
        <v>&lt;&lt;Select&gt;&gt;</v>
      </c>
      <c r="P2415" s="748" t="str">
        <f>'Part VIII-Threshold Criteria'!P367</f>
        <v>&lt;&lt;Select&gt;&gt;</v>
      </c>
    </row>
    <row r="2416" spans="1:17">
      <c r="B2416" s="748" t="s">
        <v>3061</v>
      </c>
      <c r="C2416" s="748" t="s">
        <v>2</v>
      </c>
      <c r="G2416" s="748" t="s">
        <v>3061</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2919</v>
      </c>
    </row>
    <row r="2419" spans="1:17">
      <c r="A2419" s="748" t="str">
        <f>'Part VIII-Threshold Criteria'!A371</f>
        <v>This section is not applicable to this application</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2528</v>
      </c>
      <c r="F2426" s="748" t="s">
        <v>1056</v>
      </c>
      <c r="O2426" s="748" t="s">
        <v>2921</v>
      </c>
      <c r="P2426" s="748">
        <f>'Part VIII-Threshold Criteria'!P378</f>
        <v>0</v>
      </c>
    </row>
    <row r="2427" spans="1:17">
      <c r="B2427" s="748" t="s">
        <v>3058</v>
      </c>
      <c r="C2427" s="748" t="s">
        <v>2125</v>
      </c>
      <c r="O2427" s="748" t="s">
        <v>3058</v>
      </c>
      <c r="P2427" s="748" t="str">
        <f>'Part VIII-Threshold Criteria'!P379</f>
        <v>Yes</v>
      </c>
      <c r="Q2427" s="748">
        <f>'Part VIII-Threshold Criteria'!Q379</f>
        <v>0</v>
      </c>
    </row>
    <row r="2428" spans="1:17">
      <c r="B2428" s="748" t="s">
        <v>3061</v>
      </c>
      <c r="C2428" s="748" t="s">
        <v>1240</v>
      </c>
      <c r="O2428" s="748" t="s">
        <v>3061</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3210</v>
      </c>
      <c r="C2430" s="748" t="s">
        <v>876</v>
      </c>
      <c r="O2430" s="748" t="s">
        <v>3210</v>
      </c>
      <c r="P2430" s="748" t="str">
        <f>'Part VIII-Threshold Criteria'!P382</f>
        <v>No</v>
      </c>
      <c r="Q2430" s="748">
        <f>'Part VIII-Threshold Criteria'!Q382</f>
        <v>0</v>
      </c>
    </row>
    <row r="2431" spans="1:17">
      <c r="B2431" s="748" t="s">
        <v>2761</v>
      </c>
      <c r="C2431" s="748" t="s">
        <v>3173</v>
      </c>
      <c r="G2431" s="748" t="s">
        <v>2761</v>
      </c>
      <c r="H2431" s="748">
        <f>'Part VIII-Threshold Criteria'!H383</f>
        <v>0</v>
      </c>
      <c r="P2431" s="748" t="str">
        <f>'Part VIII-Threshold Criteria'!P383</f>
        <v>No</v>
      </c>
      <c r="Q2431" s="748">
        <f>'Part VIII-Threshold Criteria'!Q383</f>
        <v>0</v>
      </c>
    </row>
    <row r="2432" spans="1:17">
      <c r="B2432" s="748" t="s">
        <v>2919</v>
      </c>
    </row>
    <row r="2433" spans="1:17">
      <c r="A2433" s="748" t="str">
        <f>'Part VIII-Threshold Criteria'!A385</f>
        <v>A copy of the LIHTC Legal Opinion as to Project Qualification for Acquisition Credits is included in Tab 21.</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4083</v>
      </c>
      <c r="O2438" s="748" t="s">
        <v>3058</v>
      </c>
      <c r="P2438" s="748" t="str">
        <f>'Part VIII-Threshold Criteria'!P390</f>
        <v>Agree</v>
      </c>
      <c r="Q2438" s="748">
        <f>'Part VIII-Threshold Criteria'!Q390</f>
        <v>0</v>
      </c>
    </row>
    <row r="2439" spans="1:17">
      <c r="B2439" s="748" t="s">
        <v>3061</v>
      </c>
      <c r="C2439" s="748" t="s">
        <v>851</v>
      </c>
      <c r="O2439" s="748" t="s">
        <v>3061</v>
      </c>
      <c r="P2439" s="748" t="str">
        <f>'Part VIII-Threshold Criteria'!P391</f>
        <v>Yes</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2003</v>
      </c>
      <c r="O2443" s="748" t="s">
        <v>2921</v>
      </c>
      <c r="P2443" s="748">
        <f>'Part VIII-Threshold Criteria'!P395</f>
        <v>0</v>
      </c>
    </row>
    <row r="2444" spans="1:17">
      <c r="B2444" s="748" t="s">
        <v>3058</v>
      </c>
      <c r="C2444" s="748" t="s">
        <v>1242</v>
      </c>
      <c r="O2444" s="748" t="s">
        <v>3058</v>
      </c>
      <c r="P2444" s="748" t="str">
        <f>'Part VIII-Threshold Criteria'!P396</f>
        <v>Yes</v>
      </c>
      <c r="Q2444" s="748">
        <f>'Part VIII-Threshold Criteria'!Q396</f>
        <v>0</v>
      </c>
    </row>
    <row r="2445" spans="1:17">
      <c r="B2445" s="748" t="s">
        <v>3061</v>
      </c>
      <c r="C2445" s="748" t="s">
        <v>3312</v>
      </c>
      <c r="O2445" s="748" t="s">
        <v>2169</v>
      </c>
      <c r="P2445" s="748" t="str">
        <f>'Part VIII-Threshold Criteria'!P397</f>
        <v>No</v>
      </c>
      <c r="Q2445" s="748">
        <f>'Part VIII-Threshold Criteria'!Q397</f>
        <v>0</v>
      </c>
    </row>
    <row r="2446" spans="1:17">
      <c r="C2446" s="748" t="s">
        <v>2225</v>
      </c>
    </row>
    <row r="2447" spans="1:17">
      <c r="C2447" s="748" t="s">
        <v>3313</v>
      </c>
      <c r="O2447" s="748" t="s">
        <v>2764</v>
      </c>
      <c r="P2447" s="748" t="str">
        <f>'Part VIII-Threshold Criteria'!P399</f>
        <v>No</v>
      </c>
      <c r="Q2447" s="748">
        <f>'Part VIII-Threshold Criteria'!Q399</f>
        <v>0</v>
      </c>
    </row>
    <row r="2448" spans="1:17">
      <c r="B2448" s="748" t="s">
        <v>1237</v>
      </c>
      <c r="C2448" s="748" t="s">
        <v>3311</v>
      </c>
      <c r="O2448" s="748" t="s">
        <v>1237</v>
      </c>
      <c r="P2448" s="748" t="str">
        <f>'Part VIII-Threshold Criteria'!P400</f>
        <v>Yes</v>
      </c>
      <c r="Q2448" s="748">
        <f>'Part VIII-Threshold Criteria'!Q400</f>
        <v>0</v>
      </c>
    </row>
    <row r="2449" spans="1:17">
      <c r="B2449" s="748" t="s">
        <v>3210</v>
      </c>
      <c r="C2449" s="748" t="s">
        <v>151</v>
      </c>
      <c r="O2449" s="748" t="s">
        <v>3210</v>
      </c>
    </row>
    <row r="2450" spans="1:17">
      <c r="C2450" s="748" t="s">
        <v>3314</v>
      </c>
      <c r="O2450" s="748" t="s">
        <v>2763</v>
      </c>
      <c r="P2450" s="748">
        <f>'Part VIII-Threshold Criteria'!P402</f>
        <v>0</v>
      </c>
      <c r="Q2450" s="748" t="str">
        <f>'Part VIII-Threshold Criteria'!Q402</f>
        <v xml:space="preserve"> </v>
      </c>
    </row>
    <row r="2451" spans="1:17">
      <c r="C2451" s="748" t="s">
        <v>3315</v>
      </c>
      <c r="O2451" s="748" t="s">
        <v>2764</v>
      </c>
      <c r="P2451" s="748">
        <f>'Part VIII-Threshold Criteria'!P403</f>
        <v>3</v>
      </c>
      <c r="Q2451" s="748">
        <f>'Part VIII-Threshold Criteria'!Q403</f>
        <v>0</v>
      </c>
    </row>
    <row r="2452" spans="1:17">
      <c r="C2452" s="748" t="s">
        <v>3316</v>
      </c>
      <c r="O2452" s="748" t="s">
        <v>2765</v>
      </c>
      <c r="P2452" s="748">
        <f>'Part VIII-Threshold Criteria'!P404</f>
        <v>5</v>
      </c>
      <c r="Q2452" s="748" t="str">
        <f>'Part VIII-Threshold Criteria'!Q404</f>
        <v xml:space="preserve"> </v>
      </c>
    </row>
    <row r="2453" spans="1:17">
      <c r="C2453" s="748" t="s">
        <v>3317</v>
      </c>
      <c r="O2453" s="748" t="s">
        <v>3569</v>
      </c>
      <c r="P2453" s="748">
        <f>'Part VIII-Threshold Criteria'!P405</f>
        <v>0</v>
      </c>
      <c r="Q2453" s="748" t="str">
        <f>'Part VIII-Threshold Criteria'!Q405</f>
        <v xml:space="preserve"> </v>
      </c>
    </row>
    <row r="2454" spans="1:17">
      <c r="C2454" s="748" t="s">
        <v>3318</v>
      </c>
      <c r="O2454" s="748" t="s">
        <v>2302</v>
      </c>
      <c r="P2454" s="748">
        <f>'Part VIII-Threshold Criteria'!P406</f>
        <v>0</v>
      </c>
      <c r="Q2454" s="748" t="str">
        <f>'Part VIII-Threshold Criteria'!Q406</f>
        <v xml:space="preserve"> </v>
      </c>
    </row>
    <row r="2455" spans="1:17">
      <c r="B2455" s="748" t="s">
        <v>2761</v>
      </c>
      <c r="C2455" s="748" t="s">
        <v>3612</v>
      </c>
      <c r="O2455" s="748" t="s">
        <v>2761</v>
      </c>
    </row>
    <row r="2456" spans="1:17">
      <c r="C2456" s="748" t="s">
        <v>3319</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25.D.1 / 25.D.4 / 25.D.5 - The answer to these questions is (0), however, this form will not show a (0) in the box.</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886</v>
      </c>
      <c r="O2469" s="748" t="s">
        <v>3058</v>
      </c>
      <c r="P2469" s="748" t="str">
        <f>'Part VIII-Threshold Criteria'!P421</f>
        <v>Agree</v>
      </c>
      <c r="Q2469" s="748">
        <f>'Part VIII-Threshold Criteria'!Q421</f>
        <v>0</v>
      </c>
    </row>
    <row r="2470" spans="1:17">
      <c r="B2470" s="748" t="s">
        <v>3061</v>
      </c>
      <c r="C2470" s="748" t="s">
        <v>887</v>
      </c>
      <c r="O2470" s="748" t="s">
        <v>3061</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2919</v>
      </c>
    </row>
    <row r="2473" spans="1:17">
      <c r="A2473" s="748">
        <f>'Part VIII-Threshold Criteria'!A425</f>
        <v>0</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2011-003 Pecan Point Apartments, ,  County</v>
      </c>
    </row>
    <row r="2495" spans="1:16">
      <c r="M2495" s="748" t="s">
        <v>3335</v>
      </c>
      <c r="O2495" s="748" t="s">
        <v>3334</v>
      </c>
      <c r="P2495" s="748" t="s">
        <v>334</v>
      </c>
    </row>
    <row r="2496" spans="1:16">
      <c r="M2496" s="748" t="s">
        <v>104</v>
      </c>
      <c r="O2496" s="748" t="s">
        <v>3335</v>
      </c>
      <c r="P2496" s="748" t="s">
        <v>3335</v>
      </c>
    </row>
    <row r="2498" spans="1:17">
      <c r="L2498" s="748" t="s">
        <v>1886</v>
      </c>
      <c r="M2498" s="748">
        <v>108</v>
      </c>
      <c r="O2498" s="748">
        <f>O2786</f>
        <v>61</v>
      </c>
      <c r="P2498" s="748">
        <f>P2786</f>
        <v>13</v>
      </c>
    </row>
    <row r="2500" spans="1:17">
      <c r="A2500" s="748" t="s">
        <v>3062</v>
      </c>
      <c r="B2500" s="748" t="s">
        <v>1670</v>
      </c>
      <c r="H2500" s="748" t="s">
        <v>2522</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1214</v>
      </c>
      <c r="F2503" s="748" t="s">
        <v>3893</v>
      </c>
      <c r="G2503" s="748">
        <f>K2509</f>
        <v>0</v>
      </c>
      <c r="H2503" s="748" t="s">
        <v>4084</v>
      </c>
      <c r="M2503" s="748">
        <v>0</v>
      </c>
      <c r="N2503" s="748" t="s">
        <v>3061</v>
      </c>
      <c r="O2503" s="748">
        <f>'Part IX A-Scoring Criteria'!O11</f>
        <v>0</v>
      </c>
      <c r="P2503" s="748">
        <f>'Part IX A-Scoring Criteria'!P11</f>
        <v>0</v>
      </c>
    </row>
    <row r="2504" spans="1:17">
      <c r="A2504" s="748" t="s">
        <v>1237</v>
      </c>
      <c r="B2504" s="748" t="s">
        <v>3208</v>
      </c>
      <c r="F2504" s="748" t="s">
        <v>3893</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2" customHeight="1">
      <c r="A2507" s="748">
        <f>'Part IX A-Scoring Criteria'!A15</f>
        <v>0</v>
      </c>
    </row>
    <row r="2508" spans="1:17" ht="13.2" customHeight="1">
      <c r="A2508" s="748" t="s">
        <v>2920</v>
      </c>
      <c r="F2508" s="748" t="s">
        <v>2738</v>
      </c>
      <c r="K2508" s="748" t="s">
        <v>2738</v>
      </c>
      <c r="P2508" s="748" t="s">
        <v>2738</v>
      </c>
    </row>
    <row r="2509" spans="1:17">
      <c r="A2509" s="748" t="s">
        <v>3637</v>
      </c>
      <c r="E2509" s="748" t="s">
        <v>784</v>
      </c>
      <c r="F2509" s="748">
        <f>SUM(F2510:F2521)</f>
        <v>0</v>
      </c>
      <c r="G2509" s="748" t="s">
        <v>3638</v>
      </c>
      <c r="J2509" s="748" t="s">
        <v>784</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8</v>
      </c>
      <c r="L2524" s="748" t="s">
        <v>1938</v>
      </c>
      <c r="M2524" s="748">
        <f>IF(OR('Part VI-Revenues &amp; Expenses'!$M$61="", 'Part VI-Revenues &amp; Expenses'!$M$61=0),"",J2524/'Part VI-Revenues &amp; Expenses'!$M$61)</f>
        <v>0.16666666666666666</v>
      </c>
    </row>
    <row r="2525" spans="1:18">
      <c r="B2525" s="748" t="s">
        <v>333</v>
      </c>
    </row>
    <row r="2526" spans="1:18">
      <c r="A2526" s="748" t="str">
        <f>'Part IX A-Scoring Criteria'!A34</f>
        <v>16.7% of our units are set-aside at the 50% Rent Level. This is evident in our rent schedule in Part VI of the Core Application</v>
      </c>
    </row>
    <row r="2527" spans="1:18">
      <c r="B2527" s="748" t="s">
        <v>2920</v>
      </c>
    </row>
    <row r="2528" spans="1:18">
      <c r="A2528" s="748">
        <f>'Part IX A-Scoring Criteria'!A36</f>
        <v>0</v>
      </c>
    </row>
    <row r="2530" spans="1:17">
      <c r="A2530" s="748" t="s">
        <v>3821</v>
      </c>
      <c r="B2530" s="748" t="s">
        <v>2928</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1237</v>
      </c>
      <c r="B2535" s="748" t="s">
        <v>2932</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The site scores 10 points for desireable / undesireable activities. This is evident with the supplied certification in Tab 24</v>
      </c>
      <c r="Q2538" s="748" t="s">
        <v>1931</v>
      </c>
    </row>
    <row r="2539" spans="1:17" ht="13.2" customHeight="1">
      <c r="A2539" s="748" t="str">
        <f>'Part IX A-Scoring Criteria'!A47</f>
        <v>The site scores 2 additional bonus points for desireable / undesireable activities. This is evident with the supplied certification in Tab 24</v>
      </c>
    </row>
    <row r="2540" spans="1:17" ht="13.2" customHeight="1">
      <c r="A2540" s="748">
        <f>'Part IX A-Scoring Criteria'!A48</f>
        <v>0</v>
      </c>
    </row>
    <row r="2541" spans="1:17">
      <c r="B2541" s="748" t="s">
        <v>2920</v>
      </c>
    </row>
    <row r="2542" spans="1:17">
      <c r="A2542" s="748">
        <f>'Part IX A-Scoring Criteria'!A50</f>
        <v>0</v>
      </c>
      <c r="Q2542" s="748" t="s">
        <v>1931</v>
      </c>
    </row>
    <row r="2543" spans="1:17" ht="13.2" customHeight="1">
      <c r="A2543" s="748">
        <f>'Part IX A-Scoring Criteria'!A51</f>
        <v>0</v>
      </c>
    </row>
    <row r="2544" spans="1:17" ht="13.2" customHeight="1">
      <c r="A2544" s="748">
        <f>'Part IX A-Scoring Criteria'!A52</f>
        <v>0</v>
      </c>
    </row>
    <row r="2547" spans="1:17">
      <c r="A2547" s="748" t="s">
        <v>1884</v>
      </c>
      <c r="B2547" s="748" t="s">
        <v>1939</v>
      </c>
      <c r="H2547" s="748" t="s">
        <v>2939</v>
      </c>
      <c r="M2547" s="748">
        <v>2</v>
      </c>
      <c r="O2547" s="748">
        <f>MIN($M2547,(O2548+O2549))</f>
        <v>0</v>
      </c>
      <c r="P2547" s="748">
        <f>MIN($M2547,(P2548+P2549))</f>
        <v>0</v>
      </c>
      <c r="Q2547" s="748" t="s">
        <v>651</v>
      </c>
    </row>
    <row r="2548" spans="1:17">
      <c r="A2548" s="748" t="s">
        <v>3058</v>
      </c>
      <c r="B2548" s="748" t="s">
        <v>1708</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1709</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t="str">
        <f>'Part IX A-Scoring Criteria'!A59</f>
        <v>This section is not applicable to this application</v>
      </c>
    </row>
    <row r="2552" spans="1:17">
      <c r="B2552" s="748" t="s">
        <v>2920</v>
      </c>
    </row>
    <row r="2553" spans="1:17">
      <c r="A2553" s="748">
        <f>'Part IX A-Scoring Criteria'!A61</f>
        <v>0</v>
      </c>
    </row>
    <row r="2554" spans="1:17">
      <c r="A2554" s="748">
        <f>'Part IX A-Scoring Criteria'!A62</f>
        <v>0</v>
      </c>
    </row>
    <row r="2556" spans="1:17" ht="12.6" customHeight="1">
      <c r="A2556" s="748" t="s">
        <v>1885</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 customHeight="1">
      <c r="B2560" s="748" t="s">
        <v>333</v>
      </c>
    </row>
    <row r="2561" spans="1:18">
      <c r="A2561" s="748" t="str">
        <f>'Part IX A-Scoring Criteria'!A69</f>
        <v>This section is not applicable to this application</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2089</v>
      </c>
      <c r="I2566" s="748" t="s">
        <v>2939</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 customHeight="1">
      <c r="B2568" s="748" t="s">
        <v>333</v>
      </c>
    </row>
    <row r="2569" spans="1:18">
      <c r="A2569" s="748" t="str">
        <f>'Part IX A-Scoring Criteria'!A77</f>
        <v>This section is not applicable to this application</v>
      </c>
    </row>
    <row r="2570" spans="1:18">
      <c r="B2570" s="748" t="s">
        <v>2920</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2" customHeight="1">
      <c r="B2575" s="748" t="s">
        <v>2657</v>
      </c>
      <c r="O2575" s="748" t="str">
        <f>'Part IX A-Scoring Criteria'!O83</f>
        <v>Yes</v>
      </c>
      <c r="P2575" s="748">
        <f>'Part IX A-Scoring Criteria'!P83</f>
        <v>0</v>
      </c>
    </row>
    <row r="2576" spans="1:18" ht="14.4" customHeight="1">
      <c r="B2576" s="748" t="s">
        <v>3058</v>
      </c>
      <c r="C2576" s="748" t="s">
        <v>1568</v>
      </c>
      <c r="M2576" s="748" t="str">
        <f>IF(AND($I$89="Stable Communities &lt; 10%",O2576=""), "X","")</f>
        <v/>
      </c>
      <c r="N2576" s="748" t="s">
        <v>3058</v>
      </c>
      <c r="O2576" s="748" t="str">
        <f>'Part IX A-Scoring Criteria'!O84</f>
        <v>Agree</v>
      </c>
      <c r="P2576" s="748">
        <f>'Part IX A-Scoring Criteria'!P84</f>
        <v>0</v>
      </c>
    </row>
    <row r="2577" spans="1:17" ht="13.2" customHeight="1">
      <c r="B2577" s="748" t="s">
        <v>3061</v>
      </c>
      <c r="C2577" s="748" t="s">
        <v>1569</v>
      </c>
      <c r="M2577" s="748" t="str">
        <f>IF(AND($I$89="Stable Communities &lt; 10%",O2577=""), "X","")</f>
        <v/>
      </c>
      <c r="N2577" s="748" t="s">
        <v>3061</v>
      </c>
      <c r="O2577" s="748" t="str">
        <f>'Part IX A-Scoring Criteria'!O85</f>
        <v>Agree</v>
      </c>
      <c r="P2577" s="748">
        <f>'Part IX A-Scoring Criteria'!P85</f>
        <v>0</v>
      </c>
    </row>
    <row r="2578" spans="1:17" ht="13.2" customHeight="1">
      <c r="B2578" s="748" t="s">
        <v>333</v>
      </c>
    </row>
    <row r="2579" spans="1:17">
      <c r="A2579" s="748" t="str">
        <f>'Part IX A-Scoring Criteria'!A87</f>
        <v>The project will be seeking the EarthCraft Multi-family certification. The applicable scoring sheet is located in Tab 29</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743</v>
      </c>
      <c r="B2585" s="748" t="s">
        <v>3639</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866</v>
      </c>
      <c r="O2588" s="748" t="s">
        <v>3793</v>
      </c>
      <c r="P2588" s="748" t="s">
        <v>3793</v>
      </c>
    </row>
    <row r="2589" spans="1:17">
      <c r="B2589" s="748" t="s">
        <v>3680</v>
      </c>
      <c r="C2589" s="748" t="s">
        <v>3620</v>
      </c>
      <c r="G2589" s="748" t="s">
        <v>3621</v>
      </c>
      <c r="M2589" s="748" t="str">
        <f>IF(AND($I$89="Stable Communities &lt; 10%",O2589=""), "X","")</f>
        <v/>
      </c>
      <c r="N2589" s="748" t="s">
        <v>3680</v>
      </c>
      <c r="O2589" s="748">
        <f>'Part IX A-Scoring Criteria'!O97</f>
        <v>0</v>
      </c>
      <c r="P2589" s="748">
        <f>'Part IX A-Scoring Criteria'!P97</f>
        <v>0</v>
      </c>
    </row>
    <row r="2590" spans="1:17">
      <c r="B2590" s="748" t="s">
        <v>3681</v>
      </c>
      <c r="C2590" s="748" t="s">
        <v>3622</v>
      </c>
      <c r="G2590" s="748" t="s">
        <v>3623</v>
      </c>
      <c r="M2590" s="748" t="str">
        <f>IF(AND($I$89="Stable Communities &lt; 10%",O2590=""), "X","")</f>
        <v/>
      </c>
      <c r="N2590" s="748" t="s">
        <v>3681</v>
      </c>
      <c r="O2590" s="748">
        <f>'Part IX A-Scoring Criteria'!O98</f>
        <v>0</v>
      </c>
      <c r="P2590" s="748">
        <f>'Part IX A-Scoring Criteria'!P98</f>
        <v>0</v>
      </c>
    </row>
    <row r="2591" spans="1:17">
      <c r="B2591" s="748" t="s">
        <v>3684</v>
      </c>
      <c r="C2591" s="748" t="s">
        <v>2189</v>
      </c>
      <c r="M2591" s="748" t="str">
        <f>IF(AND($I$89="Stable Communities &lt; 10%",O2591=""), "X","")</f>
        <v/>
      </c>
      <c r="N2591" s="748" t="s">
        <v>3684</v>
      </c>
      <c r="O2591" s="748">
        <f>'Part IX A-Scoring Criteria'!O99</f>
        <v>0</v>
      </c>
      <c r="P2591" s="748">
        <f>'Part IX A-Scoring Criteria'!P99</f>
        <v>0</v>
      </c>
    </row>
    <row r="2592" spans="1:17">
      <c r="A2592" s="748" t="str">
        <f>'Part IX A-Scoring Criteria'!A100</f>
        <v>X</v>
      </c>
      <c r="B2592" s="748" t="s">
        <v>3064</v>
      </c>
      <c r="C2592" s="748" t="s">
        <v>866</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Yes</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Yes</v>
      </c>
      <c r="P2594" s="748">
        <f>'Part IX A-Scoring Criteria'!P102</f>
        <v>0</v>
      </c>
    </row>
    <row r="2595" spans="1:16">
      <c r="B2595" s="748" t="s">
        <v>3684</v>
      </c>
      <c r="C2595" s="748" t="s">
        <v>2189</v>
      </c>
      <c r="M2595" s="748" t="str">
        <f>IF(AND($I$89="Stable Communities &lt; 20%",O2595=""), "X","")</f>
        <v/>
      </c>
      <c r="N2595" s="748" t="s">
        <v>3684</v>
      </c>
      <c r="O2595" s="748" t="str">
        <f>'Part IX A-Scoring Criteria'!O103</f>
        <v>Yes</v>
      </c>
      <c r="P2595" s="748">
        <f>'Part IX A-Scoring Criteria'!P103</f>
        <v>0</v>
      </c>
    </row>
    <row r="2596" spans="1:16">
      <c r="A2596" s="748" t="s">
        <v>3061</v>
      </c>
      <c r="B2596" s="748" t="s">
        <v>346</v>
      </c>
      <c r="M2596" s="748">
        <v>6</v>
      </c>
    </row>
    <row r="2597" spans="1:16">
      <c r="A2597" s="748" t="str">
        <f>'Part IX A-Scoring Criteria'!A105</f>
        <v/>
      </c>
      <c r="B2597" s="748" t="s">
        <v>3062</v>
      </c>
      <c r="C2597" s="748" t="s">
        <v>4085</v>
      </c>
      <c r="O2597" s="748" t="s">
        <v>3793</v>
      </c>
      <c r="P2597" s="748" t="s">
        <v>3793</v>
      </c>
    </row>
    <row r="2598" spans="1:16">
      <c r="B2598" s="748" t="s">
        <v>3680</v>
      </c>
      <c r="C2598" s="748" t="s">
        <v>912</v>
      </c>
      <c r="M2598" s="748" t="str">
        <f>IF(AND($I$89="HOPE VI Initiative",O2598=""), "X","")</f>
        <v/>
      </c>
      <c r="N2598" s="748" t="s">
        <v>3680</v>
      </c>
      <c r="O2598" s="748">
        <f>'Part IX A-Scoring Criteria'!O106</f>
        <v>0</v>
      </c>
      <c r="P2598" s="748">
        <f>'Part IX A-Scoring Criteria'!P106</f>
        <v>0</v>
      </c>
    </row>
    <row r="2599" spans="1:16">
      <c r="B2599" s="748" t="s">
        <v>3681</v>
      </c>
      <c r="C2599" s="748" t="s">
        <v>913</v>
      </c>
      <c r="M2599" s="748" t="str">
        <f>IF(AND($I$89="HOPE VI Initiative",O2599=""), "X","")</f>
        <v/>
      </c>
      <c r="N2599" s="748" t="s">
        <v>3681</v>
      </c>
      <c r="O2599" s="748">
        <f>'Part IX A-Scoring Criteria'!O107</f>
        <v>0</v>
      </c>
      <c r="P2599" s="748">
        <f>'Part IX A-Scoring Criteria'!P107</f>
        <v>0</v>
      </c>
    </row>
    <row r="2600" spans="1:16">
      <c r="B2600" s="748" t="s">
        <v>3682</v>
      </c>
      <c r="C2600" s="748" t="s">
        <v>914</v>
      </c>
      <c r="M2600" s="748" t="str">
        <f>IF(AND($I$89="HOPE VI Initiative",O2600=""), "X","")</f>
        <v/>
      </c>
      <c r="N2600" s="748" t="s">
        <v>3682</v>
      </c>
      <c r="O2600" s="748">
        <f>'Part IX A-Scoring Criteria'!O108</f>
        <v>0</v>
      </c>
      <c r="P2600" s="748">
        <f>'Part IX A-Scoring Criteria'!P108</f>
        <v>0</v>
      </c>
    </row>
    <row r="2601" spans="1:16">
      <c r="B2601" s="748" t="s">
        <v>3683</v>
      </c>
      <c r="C2601" s="748" t="s">
        <v>915</v>
      </c>
      <c r="M2601" s="748" t="str">
        <f>IF(AND($I$89="HOPE VI Initiative",O2601=""), "X","")</f>
        <v/>
      </c>
      <c r="N2601" s="748" t="s">
        <v>3683</v>
      </c>
      <c r="O2601" s="748">
        <f>'Part IX A-Scoring Criteria'!O109</f>
        <v>0</v>
      </c>
      <c r="P2601" s="748">
        <f>'Part IX A-Scoring Criteria'!P109</f>
        <v>0</v>
      </c>
    </row>
    <row r="2602" spans="1:16">
      <c r="B2602" s="748" t="s">
        <v>3064</v>
      </c>
      <c r="C2602" s="748" t="s">
        <v>539</v>
      </c>
      <c r="G2602" s="748" t="s">
        <v>919</v>
      </c>
      <c r="N2602" s="748" t="s">
        <v>3064</v>
      </c>
      <c r="O2602" s="748">
        <f>'Part IX A-Scoring Criteria'!O110</f>
        <v>0</v>
      </c>
      <c r="P2602" s="748">
        <f>'Part IX A-Scoring Criteria'!P110</f>
        <v>0</v>
      </c>
    </row>
    <row r="2603" spans="1:16">
      <c r="A2603" s="748" t="str">
        <f>'Part IX A-Scoring Criteria'!A111</f>
        <v/>
      </c>
      <c r="B2603" s="748" t="s">
        <v>3821</v>
      </c>
      <c r="C2603" s="748" t="s">
        <v>540</v>
      </c>
      <c r="G2603" s="748" t="s">
        <v>1649</v>
      </c>
      <c r="H2603" s="748" t="str">
        <f>'Part IX A-Scoring Criteria'!H111</f>
        <v>&lt;&lt;Select&gt;&gt;</v>
      </c>
      <c r="I2603" s="748" t="s">
        <v>1561</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1884</v>
      </c>
      <c r="C2604" s="748" t="s">
        <v>3609</v>
      </c>
      <c r="G2604" s="748" t="s">
        <v>636</v>
      </c>
      <c r="H2604" s="748">
        <f>'Part IX A-Scoring Criteria'!H112</f>
        <v>0</v>
      </c>
      <c r="N2604" s="748" t="s">
        <v>1884</v>
      </c>
      <c r="O2604" s="748">
        <f>'Part IX A-Scoring Criteria'!O112</f>
        <v>0</v>
      </c>
      <c r="P2604" s="748">
        <f>'Part IX A-Scoring Criteria'!P112</f>
        <v>0</v>
      </c>
    </row>
    <row r="2605" spans="1:16">
      <c r="B2605" s="748" t="s">
        <v>3680</v>
      </c>
      <c r="C2605" s="748" t="s">
        <v>920</v>
      </c>
      <c r="G2605" s="748" t="s">
        <v>918</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X</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917</v>
      </c>
      <c r="C2616" s="748" t="s">
        <v>3722</v>
      </c>
      <c r="M2616" s="748" t="str">
        <f t="shared" si="374"/>
        <v/>
      </c>
      <c r="N2616" s="748" t="s">
        <v>917</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2" customHeight="1">
      <c r="B2626" s="748" t="s">
        <v>3062</v>
      </c>
      <c r="C2626" s="748" t="s">
        <v>1563</v>
      </c>
      <c r="N2626" s="748" t="s">
        <v>3062</v>
      </c>
      <c r="O2626" s="748">
        <f>'Part IX A-Scoring Criteria'!O134</f>
        <v>0</v>
      </c>
      <c r="P2626" s="748">
        <f>'Part IX A-Scoring Criteria'!P134</f>
        <v>0</v>
      </c>
    </row>
    <row r="2627" spans="1:17" ht="13.2" customHeight="1">
      <c r="C2627" s="748" t="s">
        <v>1564</v>
      </c>
      <c r="H2627" s="748" t="s">
        <v>1562</v>
      </c>
      <c r="I2627" s="748">
        <f>'Part IX A-Scoring Criteria'!I135</f>
        <v>0</v>
      </c>
      <c r="J2627" s="748" t="s">
        <v>950</v>
      </c>
      <c r="K2627" s="748">
        <f>'Part IX A-Scoring Criteria'!K135</f>
        <v>0</v>
      </c>
    </row>
    <row r="2628" spans="1:17">
      <c r="B2628" s="748" t="s">
        <v>3064</v>
      </c>
      <c r="C2628" s="748" t="s">
        <v>1565</v>
      </c>
      <c r="L2628" s="748" t="str">
        <f>IF(OR($O2628=$M2628,$O2628=0,$O2628=""),"","* * Check Score! * *")</f>
        <v/>
      </c>
      <c r="N2628" s="748" t="s">
        <v>3064</v>
      </c>
      <c r="O2628" s="748">
        <f>'Part IX A-Scoring Criteria'!O136</f>
        <v>0</v>
      </c>
      <c r="P2628" s="748">
        <f>'Part IX A-Scoring Criteria'!P136</f>
        <v>0</v>
      </c>
    </row>
    <row r="2629" spans="1:17">
      <c r="B2629" s="748" t="s">
        <v>3821</v>
      </c>
      <c r="C2629" s="748" t="s">
        <v>1566</v>
      </c>
      <c r="L2629" s="748" t="str">
        <f>IF(OR($O2629=$M2629,$O2629=0,$O2629=""),"","* * Check Score! * *")</f>
        <v/>
      </c>
      <c r="N2629" s="748" t="s">
        <v>3821</v>
      </c>
      <c r="O2629" s="748">
        <f>'Part IX A-Scoring Criteria'!O137</f>
        <v>0</v>
      </c>
      <c r="P2629" s="748">
        <f>'Part IX A-Scoring Criteria'!P137</f>
        <v>0</v>
      </c>
    </row>
    <row r="2630" spans="1:17">
      <c r="B2630" s="748" t="s">
        <v>1884</v>
      </c>
      <c r="C2630" s="748" t="s">
        <v>1567</v>
      </c>
      <c r="L2630" s="748" t="str">
        <f>IF(OR($O2630=$M2630,$O2630=0,$O2630=""),"","* * Check Score! * *")</f>
        <v/>
      </c>
      <c r="N2630" s="748" t="s">
        <v>1884</v>
      </c>
      <c r="O2630" s="748">
        <f>'Part IX A-Scoring Criteria'!O138</f>
        <v>0</v>
      </c>
      <c r="P2630" s="748">
        <f>'Part IX A-Scoring Criteria'!P138</f>
        <v>0</v>
      </c>
    </row>
    <row r="2631" spans="1:17">
      <c r="A2631" s="748" t="s">
        <v>2054</v>
      </c>
      <c r="B2631" s="748" t="s">
        <v>3061</v>
      </c>
      <c r="C2631" s="748" t="s">
        <v>3357</v>
      </c>
      <c r="M2631" s="748">
        <v>3</v>
      </c>
      <c r="N2631" s="748" t="s">
        <v>3061</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f>'Part IX A-Scoring Criteria'!A142</f>
        <v>0</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3793</v>
      </c>
    </row>
    <row r="2640" spans="1:17">
      <c r="A2640" s="748" t="s">
        <v>3680</v>
      </c>
      <c r="B2640" s="748" t="s">
        <v>3725</v>
      </c>
      <c r="O2640" s="748" t="s">
        <v>3680</v>
      </c>
      <c r="P2640" s="748">
        <f>'Part IX A-Scoring Criteria'!P148</f>
        <v>0</v>
      </c>
    </row>
    <row r="2641" spans="1:16" ht="13.2" customHeight="1">
      <c r="A2641" s="748" t="s">
        <v>3681</v>
      </c>
      <c r="B2641" s="748" t="s">
        <v>3726</v>
      </c>
      <c r="O2641" s="748" t="s">
        <v>3681</v>
      </c>
      <c r="P2641" s="748">
        <f>'Part IX A-Scoring Criteria'!P149</f>
        <v>0</v>
      </c>
    </row>
    <row r="2642" spans="1:16" ht="13.2"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2" customHeight="1">
      <c r="A2644" s="748" t="s">
        <v>3684</v>
      </c>
      <c r="B2644" s="748" t="s">
        <v>3339</v>
      </c>
      <c r="O2644" s="748" t="s">
        <v>3684</v>
      </c>
      <c r="P2644" s="748">
        <f>'Part IX A-Scoring Criteria'!P152</f>
        <v>0</v>
      </c>
    </row>
    <row r="2645" spans="1:16" ht="13.2" customHeight="1">
      <c r="A2645" s="748" t="s">
        <v>3707</v>
      </c>
      <c r="B2645" s="748" t="s">
        <v>3340</v>
      </c>
      <c r="O2645" s="748" t="s">
        <v>3707</v>
      </c>
      <c r="P2645" s="748">
        <f>'Part IX A-Scoring Criteria'!P153</f>
        <v>0</v>
      </c>
    </row>
    <row r="2646" spans="1:16">
      <c r="A2646" s="748" t="s">
        <v>3708</v>
      </c>
      <c r="B2646" s="748" t="s">
        <v>2666</v>
      </c>
      <c r="O2646" s="748" t="s">
        <v>3708</v>
      </c>
      <c r="P2646" s="748">
        <f>'Part IX A-Scoring Criteria'!P154</f>
        <v>0</v>
      </c>
    </row>
    <row r="2647" spans="1:16">
      <c r="A2647" s="748" t="s">
        <v>3715</v>
      </c>
      <c r="B2647" s="748" t="s">
        <v>2667</v>
      </c>
      <c r="O2647" s="748" t="s">
        <v>3715</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2214</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6</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 customHeight="1">
      <c r="C2669" s="748" t="s">
        <v>190</v>
      </c>
      <c r="O2669" s="748">
        <f>'Part IX A-Scoring Criteria'!O177</f>
        <v>0</v>
      </c>
      <c r="P2669" s="748">
        <f>'Part IX A-Scoring Criteria'!P177</f>
        <v>0</v>
      </c>
    </row>
    <row r="2670" spans="1:18" ht="14.4" customHeight="1">
      <c r="A2670" s="748" t="str">
        <f>IF($I$89="HOPE VI Initiative", "X","")</f>
        <v/>
      </c>
      <c r="B2670" s="748" t="s">
        <v>3062</v>
      </c>
      <c r="C2670" s="748" t="s">
        <v>3610</v>
      </c>
      <c r="M2670" s="748">
        <v>3</v>
      </c>
    </row>
    <row r="2671" spans="1:18" ht="14.4" customHeight="1">
      <c r="A2671" s="748" t="str">
        <f>IF($I$89="HOPE VI Initiative", "X","")</f>
        <v/>
      </c>
      <c r="B2671" s="748" t="s">
        <v>3064</v>
      </c>
      <c r="C2671" s="748" t="s">
        <v>2900</v>
      </c>
      <c r="M2671" s="748">
        <v>1</v>
      </c>
    </row>
    <row r="2672" spans="1:18" ht="14.4" customHeight="1">
      <c r="B2672" s="748" t="s">
        <v>3061</v>
      </c>
      <c r="C2672" s="748" t="s">
        <v>2668</v>
      </c>
      <c r="M2672" s="748">
        <v>6</v>
      </c>
      <c r="N2672" s="748" t="s">
        <v>3061</v>
      </c>
      <c r="O2672" s="748">
        <f>'Part IX A-Scoring Criteria'!O180</f>
        <v>6</v>
      </c>
      <c r="P2672" s="748">
        <f>'Part IX A-Scoring Criteria'!P180</f>
        <v>0</v>
      </c>
      <c r="R2672" s="748" t="str">
        <f>IF(OR($O2672=$M2672,$O2672=0,$O2672=""),"","* * Check Score! * *")</f>
        <v/>
      </c>
    </row>
    <row r="2673" spans="1:18">
      <c r="B2673" s="748" t="s">
        <v>3062</v>
      </c>
      <c r="C2673" s="748" t="s">
        <v>2670</v>
      </c>
      <c r="M2673" s="748">
        <v>6</v>
      </c>
      <c r="N2673" s="748" t="s">
        <v>3062</v>
      </c>
      <c r="O2673" s="748">
        <f>'Part IX A-Scoring Criteria'!O181</f>
        <v>6</v>
      </c>
      <c r="P2673" s="748">
        <f>'Part IX A-Scoring Criteria'!P181</f>
        <v>0</v>
      </c>
    </row>
    <row r="2674" spans="1:18">
      <c r="B2674" s="748" t="s">
        <v>3064</v>
      </c>
      <c r="C2674" s="748" t="s">
        <v>2671</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2669</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3058</v>
      </c>
      <c r="B2684" s="748" t="s">
        <v>921</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This section is not applicable to this application</v>
      </c>
    </row>
    <row r="2688" spans="1:18">
      <c r="B2688" s="748" t="s">
        <v>2920</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3058</v>
      </c>
      <c r="B2692" s="748" t="s">
        <v>4086</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4087</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2009-032 - Manor at Scott's Crossing   &amp;   2009-033 - Gateway East Point</v>
      </c>
    </row>
    <row r="2696" spans="1:18">
      <c r="B2696" s="748" t="s">
        <v>2920</v>
      </c>
    </row>
    <row r="2697" spans="1:18">
      <c r="A2697" s="748">
        <f>'Part IX A-Scoring Criteria'!A205</f>
        <v>0</v>
      </c>
    </row>
    <row r="2699" spans="1:18">
      <c r="A2699" s="748" t="s">
        <v>2675</v>
      </c>
      <c r="B2699" s="748" t="s">
        <v>1036</v>
      </c>
      <c r="J2699" s="748" t="s">
        <v>3640</v>
      </c>
      <c r="L2699" s="748" t="str">
        <f>IF(OR($O2699=$M2699,$O2699=0,$O2699=2,$O2699=""),"","* * Check Score! * *")</f>
        <v/>
      </c>
      <c r="M2699" s="748">
        <v>3</v>
      </c>
      <c r="O2699" s="748">
        <f>IF(OR(AND(J2701=2,M2701=3),AND(J2701=0,M2701=3)),3,IF(AND(J2701=3,M2701=2),2,0))</f>
        <v>2</v>
      </c>
      <c r="P2699" s="748">
        <f>'Part IX A-Scoring Criteria'!P207</f>
        <v>0</v>
      </c>
      <c r="Q2699" s="748" t="s">
        <v>651</v>
      </c>
    </row>
    <row r="2700" spans="1:18" ht="13.2" customHeight="1">
      <c r="B2700" s="748" t="s">
        <v>1570</v>
      </c>
    </row>
    <row r="2701" spans="1:18">
      <c r="C2701" s="748" t="s">
        <v>950</v>
      </c>
      <c r="D2701" s="748" t="str">
        <f>'Part IX A-Scoring Criteria'!D209</f>
        <v>Plantation Apartments IV</v>
      </c>
      <c r="I2701" s="748" t="s">
        <v>1571</v>
      </c>
      <c r="J2701" s="748">
        <f>'Part IX A-Scoring Criteria'!J209</f>
        <v>3</v>
      </c>
      <c r="L2701" s="748" t="s">
        <v>4088</v>
      </c>
      <c r="M2701" s="748">
        <f>'Part IX A-Scoring Criteria'!M209</f>
        <v>2</v>
      </c>
    </row>
    <row r="2702" spans="1:18">
      <c r="B2702" s="748" t="s">
        <v>333</v>
      </c>
      <c r="J2702" s="748" t="s">
        <v>2920</v>
      </c>
    </row>
    <row r="2703" spans="1:18">
      <c r="A2703" s="748">
        <f>'Part IX A-Scoring Criteria'!A211</f>
        <v>0</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2678</v>
      </c>
      <c r="G2707" s="748" t="str">
        <f>'Part IX A-Scoring Criteria'!G215</f>
        <v>&lt; Select applicable GICH &gt;</v>
      </c>
      <c r="J2707" s="748" t="str">
        <f>'Part IX A-Scoring Criteria'!J215</f>
        <v>&lt;Select Community of Opportunity&gt;</v>
      </c>
      <c r="N2707" s="748" t="s">
        <v>3680</v>
      </c>
      <c r="O2707" s="748">
        <f>'Part IX A-Scoring Criteria'!O215</f>
        <v>0</v>
      </c>
      <c r="P2707" s="748">
        <f>'Part IX A-Scoring Criteria'!P215</f>
        <v>0</v>
      </c>
    </row>
    <row r="2708" spans="1:17">
      <c r="B2708" s="748" t="s">
        <v>3681</v>
      </c>
      <c r="C2708" s="748" t="s">
        <v>505</v>
      </c>
      <c r="N2708" s="748" t="s">
        <v>3681</v>
      </c>
      <c r="O2708" s="748">
        <f>'Part IX A-Scoring Criteria'!O216</f>
        <v>0</v>
      </c>
      <c r="P2708" s="748">
        <f>'Part IX A-Scoring Criteria'!P216</f>
        <v>0</v>
      </c>
    </row>
    <row r="2709" spans="1:17">
      <c r="B2709" s="748" t="s">
        <v>3682</v>
      </c>
      <c r="C2709" s="748" t="s">
        <v>2623</v>
      </c>
      <c r="N2709" s="748" t="s">
        <v>3682</v>
      </c>
      <c r="O2709" s="748">
        <f>'Part IX A-Scoring Criteria'!O217</f>
        <v>0</v>
      </c>
      <c r="P2709" s="748">
        <f>'Part IX A-Scoring Criteria'!P217</f>
        <v>0</v>
      </c>
    </row>
    <row r="2710" spans="1:17">
      <c r="B2710" s="748" t="s">
        <v>3683</v>
      </c>
      <c r="C2710" s="748" t="s">
        <v>3489</v>
      </c>
      <c r="N2710" s="748" t="s">
        <v>3683</v>
      </c>
      <c r="O2710" s="748">
        <f>'Part IX A-Scoring Criteria'!O218</f>
        <v>0</v>
      </c>
      <c r="P2710" s="748">
        <f>'Part IX A-Scoring Criteria'!P218</f>
        <v>0</v>
      </c>
    </row>
    <row r="2712" spans="1:17">
      <c r="B2712" s="748" t="s">
        <v>333</v>
      </c>
    </row>
    <row r="2713" spans="1:17">
      <c r="A2713" s="748" t="str">
        <f>'Part IX A-Scoring Criteria'!A221</f>
        <v>This section is not applicable to this application</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2679</v>
      </c>
      <c r="B2719" s="748" t="s">
        <v>2892</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3793</v>
      </c>
      <c r="P2720" s="748" t="s">
        <v>3793</v>
      </c>
    </row>
    <row r="2721" spans="1:18">
      <c r="B2721" s="748" t="s">
        <v>3062</v>
      </c>
      <c r="C2721" s="748" t="s">
        <v>868</v>
      </c>
      <c r="L2721" s="748" t="str">
        <f>IF(M2721&gt;14,"Over limit!","")</f>
        <v/>
      </c>
      <c r="N2721" s="748" t="s">
        <v>3062</v>
      </c>
      <c r="O2721" s="748">
        <f>'Part IX A-Scoring Criteria'!O229</f>
        <v>0</v>
      </c>
      <c r="P2721" s="748">
        <f>'Part IX A-Scoring Criteria'!P229</f>
        <v>0</v>
      </c>
    </row>
    <row r="2722" spans="1:18">
      <c r="B2722" s="748" t="s">
        <v>3064</v>
      </c>
      <c r="C2722" s="748" t="s">
        <v>869</v>
      </c>
      <c r="N2722" s="748" t="s">
        <v>3064</v>
      </c>
      <c r="O2722" s="748">
        <f>'Part IX A-Scoring Criteria'!O230</f>
        <v>0</v>
      </c>
      <c r="P2722" s="748">
        <f>'Part IX A-Scoring Criteria'!P230</f>
        <v>0</v>
      </c>
    </row>
    <row r="2723" spans="1:18">
      <c r="B2723" s="748" t="s">
        <v>3821</v>
      </c>
      <c r="C2723" s="748" t="s">
        <v>870</v>
      </c>
      <c r="N2723" s="748" t="s">
        <v>3821</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2215</v>
      </c>
      <c r="H2728" s="748" t="s">
        <v>2216</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2219</v>
      </c>
      <c r="H2729" s="748" t="s">
        <v>2216</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2223</v>
      </c>
      <c r="H2730" s="748" t="s">
        <v>2216</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2941</v>
      </c>
      <c r="C2733" s="748" t="s">
        <v>2221</v>
      </c>
      <c r="H2733" s="748" t="s">
        <v>2217</v>
      </c>
      <c r="L2733" s="748" t="str">
        <f t="shared" si="375"/>
        <v/>
      </c>
      <c r="M2733" s="748">
        <v>2</v>
      </c>
      <c r="N2733" s="748" t="s">
        <v>2941</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3062</v>
      </c>
      <c r="C2740" s="748" t="s">
        <v>982</v>
      </c>
      <c r="E2740" s="748">
        <f>'Part IX A-Scoring Criteria'!E248</f>
        <v>0</v>
      </c>
    </row>
    <row r="2741" spans="1:18">
      <c r="B2741" s="748" t="s">
        <v>3064</v>
      </c>
      <c r="C2741" s="748" t="s">
        <v>3559</v>
      </c>
      <c r="E2741" s="748">
        <f>'Part IX A-Scoring Criteria'!E249</f>
        <v>0</v>
      </c>
    </row>
    <row r="2742" spans="1:18">
      <c r="B2742" s="748" t="s">
        <v>3821</v>
      </c>
      <c r="C2742" s="748" t="s">
        <v>983</v>
      </c>
      <c r="E2742" s="748">
        <f>'Part IX A-Scoring Criteria'!E250</f>
        <v>0</v>
      </c>
    </row>
    <row r="2744" spans="1:18">
      <c r="B2744" s="748" t="s">
        <v>333</v>
      </c>
    </row>
    <row r="2745" spans="1:18">
      <c r="A2745" s="748" t="str">
        <f>'Part IX A-Scoring Criteria'!A253</f>
        <v>This section is not applicable to this application</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t="str">
        <f>'Part IX A-Scoring Criteria'!O260</f>
        <v>No</v>
      </c>
      <c r="P2752" s="748">
        <f>'Part IX A-Scoring Criteria'!P260</f>
        <v>0</v>
      </c>
    </row>
    <row r="2753" spans="1:18" ht="14.4" customHeight="1">
      <c r="B2753" s="748" t="s">
        <v>3516</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3058</v>
      </c>
      <c r="B2763" s="748" t="s">
        <v>2686</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2687</v>
      </c>
      <c r="M2764" s="748">
        <v>3</v>
      </c>
      <c r="N2764" s="748" t="s">
        <v>3061</v>
      </c>
      <c r="O2764" s="748">
        <f>'Part IX A-Scoring Criteria'!O272</f>
        <v>3</v>
      </c>
      <c r="P2764" s="748">
        <f>'Part IX A-Scoring Criteria'!P272</f>
        <v>0</v>
      </c>
      <c r="R2764" s="748" t="str">
        <f>IF(OR($O2764=$M2764,$O2764=0,$O2764=""),"","* * Check Score! * *")</f>
        <v/>
      </c>
    </row>
    <row r="2765" spans="1:18" ht="14.4" customHeight="1">
      <c r="B2765" s="748" t="s">
        <v>3517</v>
      </c>
      <c r="O2765" s="748">
        <f>'Part IX A-Scoring Criteria'!O273</f>
        <v>0</v>
      </c>
      <c r="P2765" s="748">
        <f>'Part IX A-Scoring Criteria'!P273</f>
        <v>0</v>
      </c>
    </row>
    <row r="2766" spans="1:18">
      <c r="B2766" s="748" t="s">
        <v>333</v>
      </c>
    </row>
    <row r="2767" spans="1:18">
      <c r="A2767" s="748">
        <f>'Part IX A-Scoring Criteria'!A275</f>
        <v>0</v>
      </c>
    </row>
    <row r="2768" spans="1:18">
      <c r="B2768" s="748" t="s">
        <v>2920</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3835</v>
      </c>
      <c r="O2773" s="748" t="str">
        <f>'Part IX A-Scoring Criteria'!O281</f>
        <v>Yes</v>
      </c>
      <c r="P2773" s="748">
        <f>'Part IX A-Scoring Criteria'!P281</f>
        <v>0</v>
      </c>
    </row>
    <row r="2775" spans="1:17">
      <c r="B2775" s="748" t="s">
        <v>3058</v>
      </c>
      <c r="C2775" s="748" t="s">
        <v>2159</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We received approval for Hallmark Management. We included DCA's list in Tab 3. We did not received the owner/developer score as of the application submittal date.</v>
      </c>
      <c r="Q2780" s="748" t="s">
        <v>1931</v>
      </c>
    </row>
    <row r="2781" spans="1:17">
      <c r="A2781" s="748">
        <f>'Part IX A-Scoring Criteria'!A289</f>
        <v>0</v>
      </c>
    </row>
    <row r="2782" spans="1:17">
      <c r="B2782" s="748" t="s">
        <v>2920</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61</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A11" sqref="A11"/>
    </sheetView>
  </sheetViews>
  <sheetFormatPr defaultColWidth="9.109375" defaultRowHeight="13.2"/>
  <cols>
    <col min="1" max="1" width="88.44140625" style="31" customWidth="1"/>
    <col min="2" max="16384" width="9.109375" style="31"/>
  </cols>
  <sheetData>
    <row r="1" spans="1:6" ht="15.6">
      <c r="A1" s="788" t="s">
        <v>1589</v>
      </c>
    </row>
    <row r="2" spans="1:6" ht="13.8">
      <c r="A2" s="789" t="str">
        <f>'Part I-Project Information'!F22</f>
        <v>Pecan Point Apartments</v>
      </c>
    </row>
    <row r="3" spans="1:6" ht="13.8">
      <c r="A3" s="789" t="str">
        <f>CONCATENATE('Part I-Project Information'!F24,", ", 'Part I-Project Information'!J25," County")</f>
        <v>Cochran, Bleckley County</v>
      </c>
    </row>
    <row r="4" spans="1:6" ht="12" customHeight="1"/>
    <row r="5" spans="1:6" ht="33" customHeight="1">
      <c r="A5" s="790" t="s">
        <v>3922</v>
      </c>
      <c r="B5" s="947" t="s">
        <v>1590</v>
      </c>
      <c r="C5" s="947"/>
      <c r="D5" s="947"/>
      <c r="E5" s="947"/>
      <c r="F5" s="947"/>
    </row>
    <row r="6" spans="1:6" ht="6.6" customHeight="1">
      <c r="A6" s="791"/>
      <c r="B6" s="947"/>
      <c r="C6" s="947"/>
      <c r="D6" s="947"/>
      <c r="E6" s="947"/>
      <c r="F6" s="947"/>
    </row>
    <row r="7" spans="1:6" ht="63.6" customHeight="1">
      <c r="A7" s="790" t="s">
        <v>3979</v>
      </c>
    </row>
    <row r="8" spans="1:6" ht="6" customHeight="1">
      <c r="A8" s="791"/>
    </row>
    <row r="9" spans="1:6" ht="147" customHeight="1">
      <c r="A9" s="790" t="s">
        <v>4049</v>
      </c>
    </row>
    <row r="10" spans="1:6" ht="6.6" customHeight="1">
      <c r="A10" s="791"/>
    </row>
    <row r="11" spans="1:6" ht="77.400000000000006" customHeight="1">
      <c r="A11" s="790" t="s">
        <v>3965</v>
      </c>
    </row>
    <row r="12" spans="1:6" ht="6.6" customHeight="1">
      <c r="A12" s="791"/>
    </row>
    <row r="13" spans="1:6" ht="116.4" customHeight="1">
      <c r="A13" s="790" t="s">
        <v>3978</v>
      </c>
    </row>
    <row r="14" spans="1:6" ht="6.6" customHeight="1">
      <c r="A14" s="791"/>
    </row>
    <row r="15" spans="1:6" ht="111" customHeight="1">
      <c r="A15" s="790" t="s">
        <v>3966</v>
      </c>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40.4"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C20" sheet="1" objects="1" scenarios="1" formatCells="0"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3" sqref="F33:J33"/>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1030" t="str">
        <f>CONCATENATE("PART ONE - PROJECT INFORMATION"," - ",$O$4," ",$F$22,", ",'Part I-Project Information'!F24,", ",'Part I-Project Information'!J25," County")</f>
        <v>PART ONE - PROJECT INFORMATION - 2011-003 Pecan Point Apartments, Cochran, Bleckley County</v>
      </c>
      <c r="B1" s="1031"/>
      <c r="C1" s="1031"/>
      <c r="D1" s="1031"/>
      <c r="E1" s="1031"/>
      <c r="F1" s="1031"/>
      <c r="G1" s="1031"/>
      <c r="H1" s="1031"/>
      <c r="I1" s="1031"/>
      <c r="J1" s="1031"/>
      <c r="K1" s="1031"/>
      <c r="L1" s="1031"/>
      <c r="M1" s="1031"/>
      <c r="N1" s="1031"/>
      <c r="O1" s="1031"/>
      <c r="P1" s="1032"/>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1044" t="s">
        <v>2728</v>
      </c>
      <c r="N3" s="1044"/>
      <c r="O3" s="1044"/>
      <c r="P3" s="1044"/>
    </row>
    <row r="4" spans="1:16" s="458" customFormat="1" ht="12" customHeight="1" thickBot="1">
      <c r="A4" s="735"/>
      <c r="B4" s="461"/>
      <c r="C4" s="461"/>
      <c r="D4" s="462"/>
      <c r="E4" s="401" t="s">
        <v>654</v>
      </c>
      <c r="H4" s="719"/>
      <c r="I4" s="719"/>
      <c r="J4" s="719"/>
      <c r="M4" s="719"/>
      <c r="O4" s="1034" t="s">
        <v>4055</v>
      </c>
      <c r="P4" s="1035"/>
    </row>
    <row r="5" spans="1:16" s="458" customFormat="1" ht="12" customHeight="1">
      <c r="A5" s="735"/>
      <c r="B5" s="461"/>
      <c r="C5" s="461"/>
      <c r="D5" s="461"/>
      <c r="E5" s="719"/>
      <c r="H5" s="719"/>
      <c r="I5" s="719"/>
      <c r="J5" s="719"/>
      <c r="K5" s="395"/>
      <c r="M5" s="719"/>
    </row>
    <row r="6" spans="1:16" s="458" customFormat="1" ht="13.2" customHeight="1">
      <c r="A6" s="461" t="s">
        <v>949</v>
      </c>
      <c r="C6" s="461" t="s">
        <v>3588</v>
      </c>
      <c r="D6" s="418"/>
      <c r="E6" s="463"/>
      <c r="F6" s="464" t="s">
        <v>2739</v>
      </c>
      <c r="J6" s="1047">
        <f>'Part IV-Uses of Funds'!J165</f>
        <v>538673.5</v>
      </c>
      <c r="K6" s="1048"/>
    </row>
    <row r="7" spans="1:16" s="2" customFormat="1" ht="13.2" customHeight="1">
      <c r="A7" s="5"/>
      <c r="C7" s="5"/>
      <c r="D7" s="31"/>
      <c r="E7" s="563"/>
      <c r="F7" s="458" t="s">
        <v>1981</v>
      </c>
      <c r="J7" s="966">
        <f>'Part III A-Sources of Funds'!J5</f>
        <v>0</v>
      </c>
      <c r="K7" s="967"/>
      <c r="M7" s="458"/>
      <c r="N7" s="458"/>
      <c r="O7" s="458"/>
      <c r="P7" s="458"/>
    </row>
    <row r="8" spans="1:16" s="458" customFormat="1" ht="7.2" customHeight="1">
      <c r="A8" s="461"/>
      <c r="C8" s="461"/>
      <c r="D8" s="418"/>
      <c r="E8" s="463"/>
      <c r="F8" s="463"/>
      <c r="I8" s="465"/>
      <c r="N8" s="466"/>
    </row>
    <row r="9" spans="1:16" s="458" customFormat="1" ht="13.2" customHeight="1">
      <c r="A9" s="465" t="s">
        <v>1228</v>
      </c>
      <c r="C9" s="461" t="s">
        <v>3130</v>
      </c>
      <c r="F9" s="1041" t="s">
        <v>3923</v>
      </c>
      <c r="G9" s="1042"/>
      <c r="H9" s="1043"/>
      <c r="I9" s="893" t="s">
        <v>1229</v>
      </c>
      <c r="J9" s="956"/>
      <c r="K9" s="964"/>
      <c r="L9" s="964"/>
      <c r="M9" s="964"/>
      <c r="N9" s="964"/>
      <c r="O9" s="964"/>
      <c r="P9" s="957"/>
    </row>
    <row r="10" spans="1:16" s="458" customFormat="1" ht="7.2" customHeight="1">
      <c r="I10" s="418"/>
      <c r="J10" s="418"/>
      <c r="K10" s="418"/>
      <c r="L10" s="418"/>
      <c r="M10" s="418"/>
      <c r="N10" s="418"/>
      <c r="O10" s="418"/>
      <c r="P10" s="418"/>
    </row>
    <row r="11" spans="1:16" s="458" customFormat="1" ht="13.2"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3440</v>
      </c>
      <c r="F13" s="956" t="s">
        <v>3924</v>
      </c>
      <c r="G13" s="964"/>
      <c r="H13" s="964"/>
      <c r="I13" s="964"/>
      <c r="J13" s="964"/>
      <c r="K13" s="964"/>
      <c r="L13" s="957"/>
      <c r="M13" s="713" t="s">
        <v>3055</v>
      </c>
      <c r="N13" s="956" t="s">
        <v>3925</v>
      </c>
      <c r="O13" s="964"/>
      <c r="P13" s="957"/>
    </row>
    <row r="14" spans="1:16" s="458" customFormat="1" ht="13.2" customHeight="1">
      <c r="C14" s="464" t="s">
        <v>3056</v>
      </c>
      <c r="F14" s="956" t="s">
        <v>4040</v>
      </c>
      <c r="G14" s="964"/>
      <c r="H14" s="964"/>
      <c r="I14" s="964"/>
      <c r="J14" s="964"/>
      <c r="K14" s="964"/>
      <c r="L14" s="957"/>
      <c r="M14" s="713" t="s">
        <v>2745</v>
      </c>
      <c r="O14" s="1045">
        <v>4049493873</v>
      </c>
      <c r="P14" s="1046"/>
    </row>
    <row r="15" spans="1:16" s="458" customFormat="1" ht="13.2" customHeight="1">
      <c r="C15" s="464" t="s">
        <v>952</v>
      </c>
      <c r="F15" s="1038" t="s">
        <v>1865</v>
      </c>
      <c r="G15" s="1039"/>
      <c r="H15" s="1040"/>
      <c r="M15" s="713" t="s">
        <v>2832</v>
      </c>
      <c r="O15" s="948">
        <v>4049493880</v>
      </c>
      <c r="P15" s="950"/>
    </row>
    <row r="16" spans="1:16" s="458" customFormat="1" ht="13.2" customHeight="1">
      <c r="C16" s="464" t="s">
        <v>2829</v>
      </c>
      <c r="F16" s="894" t="s">
        <v>1437</v>
      </c>
      <c r="I16" s="719" t="s">
        <v>3352</v>
      </c>
      <c r="J16" s="986">
        <v>303272800</v>
      </c>
      <c r="K16" s="987"/>
      <c r="M16" s="713" t="s">
        <v>3054</v>
      </c>
      <c r="O16" s="948">
        <v>7708619049</v>
      </c>
      <c r="P16" s="950"/>
    </row>
    <row r="17" spans="1:16" s="458" customFormat="1" ht="13.2" customHeight="1">
      <c r="B17" s="721"/>
      <c r="C17" s="464" t="s">
        <v>2744</v>
      </c>
      <c r="F17" s="948">
        <v>4049493873</v>
      </c>
      <c r="G17" s="949"/>
      <c r="H17" s="950"/>
      <c r="I17" s="715" t="s">
        <v>2743</v>
      </c>
      <c r="J17" s="877"/>
      <c r="K17" s="719" t="s">
        <v>3059</v>
      </c>
      <c r="L17" s="1057" t="s">
        <v>3926</v>
      </c>
      <c r="M17" s="1058"/>
      <c r="N17" s="1058"/>
      <c r="O17" s="1058"/>
      <c r="P17" s="1059"/>
    </row>
    <row r="18" spans="1:16" s="458" customFormat="1" ht="13.2" customHeight="1">
      <c r="A18" s="461"/>
      <c r="B18" s="463"/>
      <c r="C18" s="441" t="s">
        <v>996</v>
      </c>
      <c r="D18" s="463"/>
      <c r="G18" s="463"/>
      <c r="H18" s="463"/>
      <c r="I18" s="467"/>
    </row>
    <row r="19" spans="1:16" s="458" customFormat="1" ht="7.2" customHeight="1">
      <c r="A19" s="735"/>
      <c r="B19" s="735"/>
      <c r="C19" s="468"/>
      <c r="D19" s="721"/>
      <c r="E19" s="721"/>
      <c r="F19" s="721"/>
      <c r="H19" s="719"/>
      <c r="I19" s="721"/>
      <c r="J19" s="468"/>
      <c r="K19" s="721"/>
      <c r="P19" s="469"/>
    </row>
    <row r="20" spans="1:16" s="458" customFormat="1" ht="13.2" customHeight="1">
      <c r="A20" s="465" t="s">
        <v>2822</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950</v>
      </c>
      <c r="D22" s="470"/>
      <c r="F22" s="961" t="s">
        <v>3921</v>
      </c>
      <c r="G22" s="962"/>
      <c r="H22" s="962"/>
      <c r="I22" s="962"/>
      <c r="J22" s="962"/>
      <c r="K22" s="962"/>
      <c r="L22" s="963"/>
      <c r="M22" s="713" t="s">
        <v>3298</v>
      </c>
      <c r="O22" s="956" t="s">
        <v>3919</v>
      </c>
      <c r="P22" s="957"/>
    </row>
    <row r="23" spans="1:16" s="458" customFormat="1" ht="13.2" customHeight="1">
      <c r="A23" s="471"/>
      <c r="B23" s="461"/>
      <c r="C23" s="458" t="s">
        <v>951</v>
      </c>
      <c r="D23" s="472"/>
      <c r="F23" s="956" t="s">
        <v>3927</v>
      </c>
      <c r="G23" s="964"/>
      <c r="H23" s="964"/>
      <c r="I23" s="964"/>
      <c r="J23" s="964"/>
      <c r="K23" s="964"/>
      <c r="L23" s="957"/>
      <c r="M23" s="713" t="s">
        <v>3144</v>
      </c>
      <c r="O23" s="956" t="s">
        <v>3919</v>
      </c>
      <c r="P23" s="957"/>
    </row>
    <row r="24" spans="1:16" s="458" customFormat="1" ht="13.2" customHeight="1">
      <c r="A24" s="735"/>
      <c r="B24" s="461"/>
      <c r="C24" s="458" t="s">
        <v>952</v>
      </c>
      <c r="F24" s="956" t="s">
        <v>97</v>
      </c>
      <c r="G24" s="964"/>
      <c r="H24" s="957"/>
      <c r="I24" s="719" t="s">
        <v>445</v>
      </c>
      <c r="J24" s="986">
        <v>310147036</v>
      </c>
      <c r="K24" s="987"/>
      <c r="L24" s="550" t="str">
        <f>IF(AND(NOT(F22=""),NOT(F24="Select from list"),J24=""),"Enter Zip!","")</f>
        <v/>
      </c>
      <c r="M24" s="713" t="s">
        <v>3414</v>
      </c>
      <c r="O24" s="956">
        <v>5.1360000000000001</v>
      </c>
      <c r="P24" s="957"/>
    </row>
    <row r="25" spans="1:16" s="458" customFormat="1" ht="13.2" customHeight="1">
      <c r="A25" s="735"/>
      <c r="B25" s="461"/>
      <c r="C25" s="989" t="s">
        <v>3143</v>
      </c>
      <c r="D25" s="989"/>
      <c r="F25" s="895" t="s">
        <v>3918</v>
      </c>
      <c r="I25" s="504" t="s">
        <v>953</v>
      </c>
      <c r="J25" s="1036" t="str">
        <f>IF($F$24="","",VLOOKUP($F$24,$N$183:$O$786,2,FALSE))</f>
        <v>Bleckley</v>
      </c>
      <c r="K25" s="1037"/>
      <c r="M25" s="474" t="s">
        <v>3433</v>
      </c>
      <c r="O25" s="956">
        <v>9903</v>
      </c>
      <c r="P25" s="970"/>
    </row>
    <row r="26" spans="1:16" s="458" customFormat="1" ht="13.2" customHeight="1">
      <c r="A26" s="735"/>
      <c r="B26" s="461"/>
      <c r="C26" s="458" t="s">
        <v>2312</v>
      </c>
      <c r="F26" s="896" t="s">
        <v>3918</v>
      </c>
      <c r="G26" s="475"/>
      <c r="I26" s="466" t="s">
        <v>884</v>
      </c>
      <c r="J26" s="974" t="str">
        <f>IF($F$24="","",VLOOKUP($J$25,$C$183:$H$342,3,FALSE))</f>
        <v>Bleckley Co.</v>
      </c>
      <c r="K26" s="975"/>
      <c r="L26" s="976"/>
      <c r="M26" s="713" t="s">
        <v>665</v>
      </c>
      <c r="N26" s="897" t="s">
        <v>3919</v>
      </c>
      <c r="O26" s="466" t="s">
        <v>666</v>
      </c>
      <c r="P26" s="897" t="s">
        <v>3919</v>
      </c>
    </row>
    <row r="27" spans="1:16" s="458" customFormat="1" ht="3" customHeight="1">
      <c r="A27" s="735"/>
      <c r="B27" s="461"/>
      <c r="C27" s="461"/>
      <c r="I27" s="464"/>
      <c r="J27" s="721"/>
      <c r="L27" s="733"/>
      <c r="M27" s="733"/>
      <c r="N27" s="733"/>
      <c r="O27" s="733"/>
      <c r="P27" s="733"/>
    </row>
    <row r="28" spans="1:16" s="458" customFormat="1" ht="13.2" customHeight="1">
      <c r="A28" s="735"/>
      <c r="B28" s="461"/>
      <c r="F28" s="1033" t="s">
        <v>446</v>
      </c>
      <c r="G28" s="1033"/>
      <c r="H28" s="1033" t="s">
        <v>1224</v>
      </c>
      <c r="I28" s="1033"/>
      <c r="J28" s="1033" t="s">
        <v>1225</v>
      </c>
      <c r="K28" s="1033"/>
      <c r="L28" s="468"/>
    </row>
    <row r="29" spans="1:16" s="458" customFormat="1" ht="13.2" customHeight="1">
      <c r="A29" s="735"/>
      <c r="B29" s="461"/>
      <c r="C29" s="458" t="s">
        <v>954</v>
      </c>
      <c r="D29" s="461"/>
      <c r="F29" s="982">
        <v>8</v>
      </c>
      <c r="G29" s="983"/>
      <c r="H29" s="982">
        <v>20</v>
      </c>
      <c r="I29" s="983"/>
      <c r="J29" s="982">
        <v>144</v>
      </c>
      <c r="K29" s="983"/>
    </row>
    <row r="30" spans="1:16" s="458" customFormat="1" ht="13.2" customHeight="1">
      <c r="A30" s="735"/>
      <c r="B30" s="461"/>
      <c r="C30" s="464" t="s">
        <v>1226</v>
      </c>
      <c r="F30" s="982"/>
      <c r="G30" s="983"/>
      <c r="H30" s="982"/>
      <c r="I30" s="983"/>
      <c r="J30" s="982"/>
      <c r="K30" s="983"/>
    </row>
    <row r="31" spans="1:16" s="458" customFormat="1" ht="3" customHeight="1">
      <c r="A31" s="735"/>
      <c r="B31" s="461"/>
      <c r="I31" s="733"/>
      <c r="J31" s="733"/>
      <c r="K31" s="733"/>
      <c r="M31" s="721"/>
      <c r="N31" s="721"/>
      <c r="O31" s="721"/>
      <c r="P31" s="721"/>
    </row>
    <row r="32" spans="1:16" s="458" customFormat="1" ht="13.2" customHeight="1">
      <c r="A32" s="735"/>
      <c r="B32" s="735"/>
      <c r="C32" s="461" t="s">
        <v>972</v>
      </c>
      <c r="F32" s="971" t="s">
        <v>3967</v>
      </c>
      <c r="G32" s="972"/>
      <c r="H32" s="972"/>
      <c r="I32" s="972"/>
      <c r="J32" s="972"/>
      <c r="K32" s="973"/>
      <c r="L32" s="476"/>
      <c r="M32" s="476"/>
      <c r="N32" s="476"/>
    </row>
    <row r="33" spans="1:19" s="458" customFormat="1" ht="13.2" customHeight="1">
      <c r="A33" s="735"/>
      <c r="B33" s="735"/>
      <c r="C33" s="458" t="s">
        <v>973</v>
      </c>
      <c r="F33" s="979" t="s">
        <v>3968</v>
      </c>
      <c r="G33" s="980"/>
      <c r="H33" s="980"/>
      <c r="I33" s="980"/>
      <c r="J33" s="981"/>
      <c r="K33" s="477" t="s">
        <v>3055</v>
      </c>
      <c r="L33" s="971" t="s">
        <v>3969</v>
      </c>
      <c r="M33" s="972"/>
      <c r="N33" s="973"/>
    </row>
    <row r="34" spans="1:19" s="458" customFormat="1" ht="13.2" customHeight="1">
      <c r="A34" s="735"/>
      <c r="B34" s="735"/>
      <c r="C34" s="458" t="s">
        <v>3056</v>
      </c>
      <c r="F34" s="971" t="s">
        <v>3980</v>
      </c>
      <c r="G34" s="972"/>
      <c r="H34" s="972"/>
      <c r="I34" s="972"/>
      <c r="J34" s="973"/>
      <c r="K34" s="478" t="s">
        <v>952</v>
      </c>
      <c r="L34" s="956" t="s">
        <v>97</v>
      </c>
      <c r="M34" s="964"/>
      <c r="N34" s="957"/>
    </row>
    <row r="35" spans="1:19" s="458" customFormat="1" ht="13.2" customHeight="1">
      <c r="A35" s="735"/>
      <c r="B35" s="735"/>
      <c r="C35" s="713" t="s">
        <v>3352</v>
      </c>
      <c r="F35" s="984">
        <v>310146840</v>
      </c>
      <c r="G35" s="985"/>
      <c r="H35" s="715" t="s">
        <v>3057</v>
      </c>
      <c r="I35" s="977">
        <v>4789342055</v>
      </c>
      <c r="J35" s="1054"/>
      <c r="K35" s="978"/>
      <c r="L35" s="715" t="s">
        <v>2832</v>
      </c>
      <c r="M35" s="977">
        <v>4789343230</v>
      </c>
      <c r="N35" s="978"/>
    </row>
    <row r="36" spans="1:19" s="458" customFormat="1" ht="7.2" customHeight="1">
      <c r="A36" s="735"/>
      <c r="B36" s="735"/>
      <c r="C36" s="479"/>
      <c r="D36" s="480"/>
      <c r="E36" s="480"/>
      <c r="F36" s="719"/>
      <c r="G36" s="719"/>
      <c r="H36" s="719"/>
      <c r="I36" s="719"/>
      <c r="J36" s="480"/>
      <c r="K36" s="719"/>
      <c r="L36" s="719"/>
      <c r="N36" s="721"/>
      <c r="O36" s="721"/>
      <c r="P36" s="469"/>
    </row>
    <row r="37" spans="1:19" s="458" customFormat="1" ht="13.2" customHeight="1">
      <c r="A37" s="465" t="s">
        <v>2824</v>
      </c>
      <c r="C37" s="461" t="s">
        <v>2207</v>
      </c>
      <c r="F37" s="481"/>
      <c r="I37" s="464"/>
      <c r="J37" s="683" t="s">
        <v>1973</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3.8">
      <c r="A39" s="735"/>
      <c r="B39" s="735" t="s">
        <v>3058</v>
      </c>
      <c r="C39" s="461" t="s">
        <v>3435</v>
      </c>
      <c r="F39" s="877" t="s">
        <v>3919</v>
      </c>
      <c r="J39" s="605" t="s">
        <v>1970</v>
      </c>
      <c r="K39" s="721"/>
      <c r="L39" s="988" t="s">
        <v>1971</v>
      </c>
      <c r="M39" s="988"/>
      <c r="N39" s="988"/>
      <c r="O39" s="988"/>
      <c r="P39" s="606"/>
    </row>
    <row r="40" spans="1:19" s="458" customFormat="1" ht="3" customHeight="1">
      <c r="A40" s="735"/>
      <c r="J40" s="605"/>
      <c r="K40" s="733"/>
      <c r="L40" s="721"/>
      <c r="M40" s="733"/>
      <c r="N40" s="733"/>
      <c r="O40" s="733"/>
      <c r="P40" s="607"/>
    </row>
    <row r="41" spans="1:19" s="458" customFormat="1" ht="13.2" customHeight="1">
      <c r="A41" s="735"/>
      <c r="B41" s="735" t="s">
        <v>3061</v>
      </c>
      <c r="C41" s="461" t="s">
        <v>1082</v>
      </c>
      <c r="J41" s="608" t="s">
        <v>1974</v>
      </c>
      <c r="K41" s="609"/>
      <c r="L41" s="968" t="s">
        <v>1969</v>
      </c>
      <c r="M41" s="968"/>
      <c r="N41" s="968"/>
      <c r="O41" s="968"/>
      <c r="P41" s="969"/>
      <c r="Q41" s="719"/>
    </row>
    <row r="42" spans="1:19" ht="13.2" customHeight="1">
      <c r="B42" s="735"/>
      <c r="C42" s="458" t="s">
        <v>3434</v>
      </c>
      <c r="D42" s="458"/>
      <c r="E42" s="458"/>
      <c r="F42" s="483">
        <f>'Part VI-Revenues &amp; Expenses'!$M$75</f>
        <v>0</v>
      </c>
      <c r="J42" s="398"/>
      <c r="L42" s="458"/>
      <c r="Q42" s="719"/>
    </row>
    <row r="43" spans="1:19" s="458" customFormat="1" ht="13.2" customHeight="1">
      <c r="A43" s="735"/>
      <c r="B43" s="735"/>
      <c r="C43" s="464" t="s">
        <v>468</v>
      </c>
      <c r="D43" s="721"/>
      <c r="F43" s="483">
        <f>'Part VI-Revenues &amp; Expenses'!$M$82</f>
        <v>0</v>
      </c>
      <c r="Q43" s="719"/>
    </row>
    <row r="44" spans="1:19" s="458" customFormat="1" ht="13.2" customHeight="1">
      <c r="A44" s="735"/>
      <c r="B44" s="735"/>
      <c r="C44" s="464" t="s">
        <v>442</v>
      </c>
      <c r="D44" s="721"/>
      <c r="F44" s="483">
        <f>'Part VI-Revenues &amp; Expenses'!$M$78</f>
        <v>49</v>
      </c>
      <c r="G44" s="458" t="s">
        <v>444</v>
      </c>
      <c r="L44" s="898">
        <v>32216</v>
      </c>
      <c r="M44" s="482"/>
      <c r="N44" s="482"/>
      <c r="O44" s="482"/>
      <c r="P44" s="482"/>
      <c r="Q44" s="719"/>
    </row>
    <row r="45" spans="1:19" s="458" customFormat="1" ht="13.2" customHeight="1">
      <c r="A45" s="735"/>
      <c r="B45" s="735"/>
      <c r="C45" s="484" t="s">
        <v>443</v>
      </c>
      <c r="F45" s="483">
        <f>'Part VI-Revenues &amp; Expenses'!$M$81</f>
        <v>0</v>
      </c>
      <c r="L45" s="482"/>
    </row>
    <row r="46" spans="1:19" s="458" customFormat="1" ht="13.2" customHeight="1">
      <c r="A46" s="735"/>
      <c r="B46" s="735"/>
      <c r="C46" s="484" t="s">
        <v>469</v>
      </c>
      <c r="F46" s="483">
        <f>'Part VI-Revenues &amp; Expenses'!$M$83</f>
        <v>0</v>
      </c>
      <c r="P46" s="721"/>
    </row>
    <row r="47" spans="1:19" s="458" customFormat="1" ht="3.6" customHeight="1">
      <c r="A47" s="735"/>
      <c r="P47" s="721"/>
    </row>
    <row r="48" spans="1:19" s="458" customFormat="1" ht="13.2" customHeight="1">
      <c r="A48" s="735"/>
      <c r="B48" s="471" t="s">
        <v>1237</v>
      </c>
      <c r="C48" s="470" t="s">
        <v>3406</v>
      </c>
      <c r="D48" s="721"/>
      <c r="I48" s="1055" t="s">
        <v>2129</v>
      </c>
      <c r="J48" s="471" t="s">
        <v>3210</v>
      </c>
      <c r="K48" s="485" t="s">
        <v>3441</v>
      </c>
      <c r="M48" s="721"/>
      <c r="N48" s="721"/>
      <c r="O48" s="721"/>
      <c r="P48" s="719"/>
      <c r="Q48" s="719"/>
      <c r="R48" s="719"/>
      <c r="S48" s="721"/>
    </row>
    <row r="49" spans="1:16" s="458" customFormat="1" ht="13.2" customHeight="1">
      <c r="A49" s="735"/>
      <c r="B49" s="716"/>
      <c r="C49" s="468" t="s">
        <v>3407</v>
      </c>
      <c r="D49" s="721"/>
      <c r="E49" s="721"/>
      <c r="H49" s="486">
        <f>SUM(H50:H51)</f>
        <v>48</v>
      </c>
      <c r="I49" s="1056"/>
      <c r="J49" s="735"/>
      <c r="K49" s="468" t="s">
        <v>3442</v>
      </c>
      <c r="M49" s="721"/>
      <c r="N49" s="721"/>
      <c r="O49" s="721"/>
      <c r="P49" s="486">
        <f>'Part VI-Revenues &amp; Expenses'!$M$94</f>
        <v>39088</v>
      </c>
    </row>
    <row r="50" spans="1:16" s="458" customFormat="1" ht="13.2" customHeight="1">
      <c r="A50" s="735"/>
      <c r="B50" s="482"/>
      <c r="D50" s="487" t="s">
        <v>489</v>
      </c>
      <c r="E50" s="487"/>
      <c r="H50" s="486">
        <f>'Part VI-Revenues &amp; Expenses'!$M$58</f>
        <v>8</v>
      </c>
      <c r="I50" s="486">
        <f>'Part VI-Revenues &amp; Expenses'!$M$66</f>
        <v>8</v>
      </c>
      <c r="K50" s="468" t="s">
        <v>326</v>
      </c>
      <c r="M50" s="721"/>
      <c r="N50" s="721"/>
      <c r="O50" s="721"/>
      <c r="P50" s="486">
        <f>'Part VI-Revenues &amp; Expenses'!$M$95</f>
        <v>0</v>
      </c>
    </row>
    <row r="51" spans="1:16" s="458" customFormat="1" ht="13.2" customHeight="1">
      <c r="A51" s="735"/>
      <c r="D51" s="487" t="s">
        <v>2862</v>
      </c>
      <c r="E51" s="487"/>
      <c r="H51" s="486">
        <f>'Part VI-Revenues &amp; Expenses'!$M$57</f>
        <v>40</v>
      </c>
      <c r="I51" s="486">
        <f>'Part VI-Revenues &amp; Expenses'!$M$65</f>
        <v>30</v>
      </c>
      <c r="K51" s="468" t="s">
        <v>3443</v>
      </c>
      <c r="M51" s="721"/>
      <c r="N51" s="721"/>
      <c r="O51" s="721"/>
      <c r="P51" s="486">
        <f>+P49+P50</f>
        <v>39088</v>
      </c>
    </row>
    <row r="52" spans="1:16" s="458" customFormat="1" ht="13.2" customHeight="1">
      <c r="A52" s="735"/>
      <c r="C52" s="468" t="s">
        <v>327</v>
      </c>
      <c r="D52" s="721"/>
      <c r="E52" s="721"/>
      <c r="H52" s="486">
        <f>'Part VI-Revenues &amp; Expenses'!$M$60</f>
        <v>0</v>
      </c>
      <c r="J52" s="735"/>
      <c r="K52" s="468" t="s">
        <v>2132</v>
      </c>
      <c r="M52" s="721"/>
      <c r="N52" s="721"/>
      <c r="O52" s="721"/>
      <c r="P52" s="486">
        <f>'Part VI-Revenues &amp; Expenses'!$M$97</f>
        <v>899</v>
      </c>
    </row>
    <row r="53" spans="1:16" s="458" customFormat="1" ht="13.2" customHeight="1">
      <c r="A53" s="735"/>
      <c r="C53" s="468" t="s">
        <v>3648</v>
      </c>
      <c r="D53" s="721"/>
      <c r="E53" s="721"/>
      <c r="H53" s="486">
        <f>+H49+H52</f>
        <v>48</v>
      </c>
      <c r="J53" s="735"/>
      <c r="K53" s="468" t="s">
        <v>2131</v>
      </c>
      <c r="M53" s="721"/>
      <c r="N53" s="721"/>
      <c r="O53" s="721"/>
      <c r="P53" s="486">
        <f>+P51+P52</f>
        <v>39987</v>
      </c>
    </row>
    <row r="54" spans="1:16" s="458" customFormat="1" ht="13.2" customHeight="1">
      <c r="A54" s="735"/>
      <c r="C54" s="468" t="s">
        <v>3649</v>
      </c>
      <c r="D54" s="721"/>
      <c r="E54" s="721"/>
      <c r="H54" s="486">
        <f>'Part VI-Revenues &amp; Expenses'!$M$62</f>
        <v>1</v>
      </c>
      <c r="J54" s="735"/>
    </row>
    <row r="55" spans="1:16" s="458" customFormat="1" ht="13.2" customHeight="1">
      <c r="A55" s="735"/>
      <c r="C55" s="468" t="s">
        <v>2823</v>
      </c>
      <c r="D55" s="721"/>
      <c r="E55" s="721"/>
      <c r="H55" s="486">
        <f>+H53+H54</f>
        <v>49</v>
      </c>
      <c r="J55" s="721"/>
    </row>
    <row r="56" spans="1:16" s="458" customFormat="1" ht="3" customHeight="1">
      <c r="A56" s="735"/>
      <c r="I56" s="719"/>
      <c r="L56" s="719"/>
      <c r="M56" s="719"/>
      <c r="N56" s="721"/>
      <c r="P56" s="469"/>
    </row>
    <row r="57" spans="1:16" s="458" customFormat="1" ht="13.2" customHeight="1">
      <c r="A57" s="735"/>
      <c r="B57" s="735" t="s">
        <v>2761</v>
      </c>
      <c r="C57" s="470" t="s">
        <v>3436</v>
      </c>
      <c r="D57" s="487" t="s">
        <v>3072</v>
      </c>
      <c r="G57" s="721"/>
      <c r="H57" s="899">
        <v>6</v>
      </c>
      <c r="K57" s="468" t="s">
        <v>1758</v>
      </c>
      <c r="O57" s="721"/>
      <c r="P57" s="899">
        <v>2155</v>
      </c>
    </row>
    <row r="58" spans="1:16" s="458" customFormat="1" ht="13.2" customHeight="1">
      <c r="A58" s="735"/>
      <c r="B58" s="735"/>
      <c r="D58" s="716" t="s">
        <v>3073</v>
      </c>
      <c r="H58" s="899">
        <v>2</v>
      </c>
      <c r="I58" s="721"/>
      <c r="K58" s="468" t="s">
        <v>325</v>
      </c>
      <c r="O58" s="721"/>
      <c r="P58" s="486">
        <f>+P53+P57</f>
        <v>42142</v>
      </c>
    </row>
    <row r="59" spans="1:16" s="458" customFormat="1" ht="13.2" customHeight="1">
      <c r="A59" s="735"/>
      <c r="B59" s="735"/>
      <c r="D59" s="716" t="s">
        <v>3074</v>
      </c>
      <c r="H59" s="486">
        <f>+H57+H58</f>
        <v>8</v>
      </c>
      <c r="I59" s="721"/>
    </row>
    <row r="60" spans="1:16" s="458" customFormat="1" ht="3" customHeight="1">
      <c r="A60" s="735"/>
      <c r="B60" s="735"/>
      <c r="C60" s="721"/>
      <c r="D60" s="721"/>
      <c r="E60" s="721"/>
      <c r="F60" s="721"/>
      <c r="G60" s="719"/>
      <c r="I60" s="468"/>
      <c r="J60" s="721"/>
      <c r="P60" s="469"/>
    </row>
    <row r="61" spans="1:16" s="458" customFormat="1" ht="13.2" customHeight="1">
      <c r="A61" s="735"/>
      <c r="B61" s="735" t="s">
        <v>2762</v>
      </c>
      <c r="C61" s="470" t="s">
        <v>1083</v>
      </c>
      <c r="D61" s="721"/>
      <c r="E61" s="721"/>
      <c r="F61" s="721"/>
      <c r="G61" s="721"/>
      <c r="H61" s="899">
        <v>76</v>
      </c>
    </row>
    <row r="62" spans="1:16" s="458" customFormat="1" ht="9" customHeight="1">
      <c r="A62" s="735"/>
      <c r="B62" s="735"/>
      <c r="C62" s="468"/>
      <c r="D62" s="721"/>
      <c r="E62" s="721"/>
      <c r="F62" s="721"/>
      <c r="G62" s="719"/>
      <c r="H62" s="721"/>
      <c r="I62" s="468"/>
      <c r="J62" s="468"/>
      <c r="K62" s="721"/>
      <c r="P62" s="469"/>
    </row>
    <row r="63" spans="1:16" s="458" customFormat="1" ht="13.2" customHeight="1">
      <c r="A63" s="735" t="s">
        <v>821</v>
      </c>
      <c r="C63" s="488" t="s">
        <v>1835</v>
      </c>
      <c r="D63" s="488"/>
      <c r="E63" s="488"/>
      <c r="F63" s="721"/>
      <c r="G63" s="719"/>
      <c r="K63" s="721"/>
      <c r="P63" s="469"/>
    </row>
    <row r="64" spans="1:16" s="458" customFormat="1" ht="3" customHeight="1">
      <c r="A64" s="735"/>
      <c r="C64" s="714"/>
      <c r="D64" s="714"/>
      <c r="E64" s="714"/>
      <c r="F64" s="721"/>
      <c r="G64" s="719"/>
      <c r="K64" s="721"/>
      <c r="P64" s="469"/>
    </row>
    <row r="65" spans="1:16" s="458" customFormat="1" ht="13.2" customHeight="1">
      <c r="A65" s="735"/>
      <c r="B65" s="735" t="s">
        <v>3058</v>
      </c>
      <c r="C65" s="395" t="s">
        <v>2271</v>
      </c>
      <c r="D65" s="714"/>
      <c r="E65" s="714"/>
      <c r="F65" s="721"/>
      <c r="G65" s="719"/>
      <c r="H65" s="1027" t="s">
        <v>3970</v>
      </c>
      <c r="I65" s="1029"/>
      <c r="K65" s="989" t="s">
        <v>2800</v>
      </c>
      <c r="L65" s="989"/>
      <c r="N65" s="956"/>
      <c r="O65" s="964"/>
      <c r="P65" s="957"/>
    </row>
    <row r="66" spans="1:16" s="458" customFormat="1" ht="3" customHeight="1">
      <c r="A66" s="735"/>
      <c r="B66" s="735"/>
      <c r="D66" s="716"/>
      <c r="E66" s="716"/>
      <c r="F66" s="716"/>
      <c r="G66" s="716"/>
      <c r="I66" s="719"/>
      <c r="K66" s="713"/>
      <c r="L66" s="713"/>
      <c r="M66" s="719"/>
      <c r="N66" s="721"/>
      <c r="P66" s="469"/>
    </row>
    <row r="67" spans="1:16" s="458" customFormat="1" ht="13.2" customHeight="1">
      <c r="A67" s="735"/>
      <c r="B67" s="735" t="s">
        <v>3061</v>
      </c>
      <c r="C67" s="470" t="s">
        <v>2120</v>
      </c>
      <c r="D67" s="721"/>
      <c r="E67" s="487"/>
      <c r="G67" s="489" t="s">
        <v>1377</v>
      </c>
      <c r="H67" s="899">
        <v>3</v>
      </c>
      <c r="K67" s="989" t="s">
        <v>811</v>
      </c>
      <c r="L67" s="989"/>
      <c r="P67" s="490">
        <f>IF('Part VI-Revenues &amp; Expenses'!$M$63=0,0,$H67/'Part VI-Revenues &amp; Expenses'!$M$63)</f>
        <v>6.1224489795918366E-2</v>
      </c>
    </row>
    <row r="68" spans="1:16" s="458" customFormat="1" ht="3" customHeight="1">
      <c r="A68" s="735"/>
      <c r="B68" s="735"/>
      <c r="D68" s="716"/>
      <c r="E68" s="716"/>
      <c r="F68" s="716"/>
      <c r="G68" s="716"/>
      <c r="I68" s="719"/>
      <c r="K68" s="713"/>
      <c r="L68" s="713"/>
      <c r="M68" s="719"/>
      <c r="P68" s="719"/>
    </row>
    <row r="69" spans="1:16" s="458" customFormat="1" ht="13.2" customHeight="1">
      <c r="A69" s="735"/>
      <c r="B69" s="735" t="s">
        <v>1237</v>
      </c>
      <c r="C69" s="470" t="s">
        <v>2889</v>
      </c>
      <c r="D69" s="487"/>
      <c r="E69" s="487"/>
      <c r="G69" s="489" t="s">
        <v>1377</v>
      </c>
      <c r="H69" s="899">
        <v>1</v>
      </c>
      <c r="K69" s="989" t="s">
        <v>811</v>
      </c>
      <c r="L69" s="989"/>
      <c r="P69" s="490">
        <f>IF('Part VI-Revenues &amp; Expenses'!$M$63=0,0,$H69/'Part VI-Revenues &amp; Expenses'!$M$63)</f>
        <v>2.0408163265306121E-2</v>
      </c>
    </row>
    <row r="70" spans="1:16" s="458" customFormat="1" ht="3" customHeight="1">
      <c r="A70" s="735"/>
      <c r="B70" s="735"/>
      <c r="D70" s="716"/>
      <c r="E70" s="716"/>
      <c r="F70" s="716"/>
      <c r="G70" s="716"/>
      <c r="I70" s="719"/>
      <c r="K70" s="713"/>
      <c r="L70" s="713"/>
      <c r="M70" s="719"/>
      <c r="P70" s="719"/>
    </row>
    <row r="71" spans="1:16" s="458" customFormat="1" ht="13.2" customHeight="1">
      <c r="A71" s="735"/>
      <c r="B71" s="735" t="s">
        <v>3210</v>
      </c>
      <c r="C71" s="470" t="s">
        <v>1976</v>
      </c>
      <c r="D71" s="487"/>
      <c r="E71" s="487"/>
      <c r="G71" s="489" t="s">
        <v>1977</v>
      </c>
      <c r="H71" s="899">
        <v>0</v>
      </c>
      <c r="K71" s="989" t="s">
        <v>811</v>
      </c>
      <c r="L71" s="989"/>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2" customHeight="1">
      <c r="A73" s="491" t="s">
        <v>1346</v>
      </c>
      <c r="B73" s="735"/>
      <c r="C73" s="714" t="s">
        <v>3590</v>
      </c>
      <c r="D73" s="716"/>
      <c r="E73" s="716"/>
      <c r="F73" s="716"/>
      <c r="G73" s="716"/>
      <c r="H73" s="716"/>
      <c r="I73" s="719"/>
      <c r="M73" s="719"/>
      <c r="N73" s="721"/>
      <c r="P73" s="469"/>
    </row>
    <row r="74" spans="1:16" s="458" customFormat="1" ht="3" customHeight="1">
      <c r="A74" s="735"/>
      <c r="B74" s="735"/>
      <c r="C74" s="714"/>
      <c r="D74" s="716"/>
      <c r="E74" s="716"/>
      <c r="F74" s="716"/>
      <c r="L74" s="719"/>
      <c r="M74" s="719"/>
      <c r="N74" s="721"/>
      <c r="P74" s="469"/>
    </row>
    <row r="75" spans="1:16" s="458" customFormat="1" ht="13.2" customHeight="1">
      <c r="A75" s="735"/>
      <c r="B75" s="735" t="s">
        <v>3058</v>
      </c>
      <c r="C75" s="395" t="s">
        <v>3589</v>
      </c>
      <c r="D75" s="716"/>
      <c r="E75" s="716"/>
      <c r="F75" s="716"/>
      <c r="H75" s="1049" t="s">
        <v>1459</v>
      </c>
      <c r="I75" s="1050"/>
      <c r="J75" s="1051"/>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2" customHeight="1">
      <c r="B77" s="735" t="s">
        <v>3061</v>
      </c>
      <c r="C77" s="461" t="s">
        <v>2284</v>
      </c>
      <c r="K77" s="464" t="s">
        <v>1458</v>
      </c>
      <c r="N77" s="492"/>
      <c r="P77" s="877" t="s">
        <v>3919</v>
      </c>
    </row>
    <row r="78" spans="1:16" s="458" customFormat="1" ht="9" customHeight="1">
      <c r="A78" s="735"/>
      <c r="B78" s="735"/>
      <c r="C78" s="461"/>
      <c r="D78" s="716"/>
      <c r="E78" s="716"/>
      <c r="F78" s="716"/>
      <c r="G78" s="716"/>
      <c r="I78" s="719"/>
      <c r="J78" s="719"/>
      <c r="K78" s="719"/>
      <c r="L78" s="719"/>
      <c r="M78" s="719"/>
      <c r="N78" s="721"/>
      <c r="P78" s="469"/>
    </row>
    <row r="79" spans="1:16" s="458" customFormat="1" ht="13.2" customHeight="1">
      <c r="A79" s="491" t="s">
        <v>385</v>
      </c>
      <c r="B79" s="735"/>
      <c r="C79" s="714" t="s">
        <v>3131</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2" customHeight="1">
      <c r="B81" s="735"/>
      <c r="C81" s="461"/>
      <c r="E81" s="877" t="s">
        <v>3919</v>
      </c>
      <c r="F81" s="487" t="s">
        <v>3912</v>
      </c>
      <c r="H81" s="877" t="s">
        <v>3918</v>
      </c>
      <c r="I81" s="713" t="s">
        <v>3911</v>
      </c>
      <c r="K81" s="877" t="s">
        <v>3919</v>
      </c>
      <c r="L81" s="458" t="s">
        <v>144</v>
      </c>
    </row>
    <row r="82" spans="1:16" s="458" customFormat="1" ht="13.2" customHeight="1">
      <c r="A82" s="735"/>
      <c r="B82" s="735"/>
      <c r="D82" s="480"/>
      <c r="E82" s="877" t="s">
        <v>3918</v>
      </c>
      <c r="F82" s="713" t="s">
        <v>650</v>
      </c>
      <c r="H82" s="877" t="s">
        <v>3919</v>
      </c>
      <c r="I82" s="716" t="s">
        <v>3231</v>
      </c>
      <c r="K82" s="877" t="s">
        <v>3919</v>
      </c>
      <c r="L82" s="458" t="s">
        <v>364</v>
      </c>
    </row>
    <row r="83" spans="1:16" s="458" customFormat="1" ht="9" customHeight="1">
      <c r="A83" s="735"/>
      <c r="B83" s="735"/>
      <c r="D83" s="480"/>
      <c r="E83" s="721"/>
      <c r="I83" s="480"/>
      <c r="J83" s="468"/>
      <c r="K83" s="721"/>
      <c r="P83" s="469"/>
    </row>
    <row r="84" spans="1:16" s="458" customFormat="1" ht="13.2" customHeight="1">
      <c r="A84" s="491" t="s">
        <v>541</v>
      </c>
      <c r="B84" s="735"/>
      <c r="C84" s="485" t="s">
        <v>1833</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2" customHeight="1">
      <c r="A86" s="735"/>
      <c r="B86" s="735"/>
      <c r="C86" s="468" t="s">
        <v>846</v>
      </c>
      <c r="D86" s="721"/>
      <c r="E86" s="956"/>
      <c r="F86" s="964"/>
      <c r="G86" s="964"/>
      <c r="H86" s="964"/>
      <c r="I86" s="964"/>
      <c r="J86" s="964"/>
      <c r="K86" s="964"/>
      <c r="L86" s="957"/>
      <c r="M86" s="1023" t="s">
        <v>847</v>
      </c>
      <c r="N86" s="1023"/>
      <c r="O86" s="954"/>
      <c r="P86" s="955"/>
    </row>
    <row r="87" spans="1:16" s="458" customFormat="1" ht="13.2" customHeight="1">
      <c r="C87" s="464" t="s">
        <v>1640</v>
      </c>
      <c r="D87" s="472"/>
      <c r="E87" s="956"/>
      <c r="F87" s="964"/>
      <c r="G87" s="964"/>
      <c r="H87" s="964"/>
      <c r="I87" s="964"/>
      <c r="J87" s="964"/>
      <c r="K87" s="964"/>
      <c r="L87" s="957"/>
      <c r="M87" s="1023" t="s">
        <v>1389</v>
      </c>
      <c r="N87" s="1023"/>
      <c r="O87" s="961"/>
      <c r="P87" s="963"/>
    </row>
    <row r="88" spans="1:16" s="458" customFormat="1" ht="13.2" customHeight="1">
      <c r="C88" s="464" t="s">
        <v>952</v>
      </c>
      <c r="E88" s="956"/>
      <c r="F88" s="1052"/>
      <c r="G88" s="1053"/>
      <c r="H88" s="715" t="s">
        <v>2829</v>
      </c>
      <c r="I88" s="877"/>
      <c r="J88" s="493" t="s">
        <v>3352</v>
      </c>
      <c r="K88" s="986"/>
      <c r="L88" s="1053"/>
      <c r="M88" s="418"/>
      <c r="N88" s="418"/>
      <c r="O88" s="418"/>
      <c r="P88" s="418"/>
    </row>
    <row r="89" spans="1:16" s="458" customFormat="1" ht="13.2" customHeight="1">
      <c r="C89" s="458" t="s">
        <v>3300</v>
      </c>
      <c r="E89" s="956"/>
      <c r="F89" s="1052"/>
      <c r="G89" s="1053"/>
      <c r="H89" s="719" t="s">
        <v>3055</v>
      </c>
      <c r="I89" s="956"/>
      <c r="J89" s="1052"/>
      <c r="K89" s="1053"/>
      <c r="L89" s="732" t="s">
        <v>3059</v>
      </c>
      <c r="M89" s="956"/>
      <c r="N89" s="1052"/>
      <c r="O89" s="1052"/>
      <c r="P89" s="1053"/>
    </row>
    <row r="90" spans="1:16" s="458" customFormat="1" ht="13.2" customHeight="1">
      <c r="C90" s="464" t="s">
        <v>3299</v>
      </c>
      <c r="E90" s="948"/>
      <c r="F90" s="949"/>
      <c r="G90" s="950"/>
      <c r="H90" s="719" t="s">
        <v>2832</v>
      </c>
      <c r="I90" s="977"/>
      <c r="J90" s="1053"/>
      <c r="K90" s="493" t="s">
        <v>2833</v>
      </c>
      <c r="L90" s="977"/>
      <c r="M90" s="1053"/>
      <c r="N90" s="493" t="s">
        <v>3054</v>
      </c>
      <c r="O90" s="977"/>
      <c r="P90" s="1053"/>
    </row>
    <row r="91" spans="1:16" s="458" customFormat="1" ht="3" customHeight="1">
      <c r="A91" s="735"/>
      <c r="B91" s="735"/>
      <c r="G91" s="480"/>
      <c r="H91" s="719"/>
      <c r="I91" s="719"/>
      <c r="M91" s="469"/>
    </row>
    <row r="92" spans="1:16" s="458" customFormat="1" ht="13.2" customHeight="1">
      <c r="A92" s="491" t="s">
        <v>463</v>
      </c>
      <c r="B92" s="735"/>
      <c r="C92" s="714" t="s">
        <v>2664</v>
      </c>
      <c r="D92" s="480"/>
      <c r="E92" s="480"/>
      <c r="F92" s="719"/>
      <c r="G92" s="719"/>
      <c r="H92" s="719"/>
      <c r="I92" s="719"/>
      <c r="J92" s="480"/>
      <c r="K92" s="719"/>
      <c r="L92" s="719"/>
      <c r="N92" s="721"/>
      <c r="O92" s="721"/>
      <c r="P92" s="469"/>
    </row>
    <row r="93" spans="1:16" s="458" customFormat="1" ht="3.6" customHeight="1">
      <c r="A93" s="491"/>
      <c r="B93" s="735"/>
      <c r="C93" s="714"/>
      <c r="D93" s="480"/>
      <c r="E93" s="480"/>
      <c r="F93" s="719"/>
      <c r="G93" s="719"/>
      <c r="H93" s="719"/>
      <c r="I93" s="719"/>
      <c r="J93" s="480"/>
      <c r="K93" s="719"/>
      <c r="L93" s="719"/>
      <c r="N93" s="721"/>
      <c r="O93" s="721"/>
      <c r="P93" s="469"/>
    </row>
    <row r="94" spans="1:16" s="458" customFormat="1" ht="13.2" customHeight="1">
      <c r="C94" s="487" t="s">
        <v>3255</v>
      </c>
      <c r="D94" s="494"/>
      <c r="E94" s="494"/>
      <c r="F94" s="494"/>
      <c r="G94" s="494"/>
      <c r="H94" s="494"/>
      <c r="I94" s="494"/>
      <c r="J94" s="494"/>
      <c r="K94" s="494"/>
      <c r="L94" s="494"/>
      <c r="M94" s="494"/>
      <c r="N94" s="494"/>
      <c r="O94" s="494"/>
      <c r="P94" s="494"/>
    </row>
    <row r="95" spans="1:16" s="458" customFormat="1" ht="4.95" customHeight="1">
      <c r="A95" s="735"/>
      <c r="B95" s="735"/>
      <c r="C95" s="495"/>
      <c r="D95" s="495"/>
      <c r="E95" s="495"/>
      <c r="F95" s="495"/>
      <c r="G95" s="495"/>
      <c r="H95" s="495"/>
      <c r="I95" s="495"/>
      <c r="J95" s="495"/>
      <c r="K95" s="495"/>
      <c r="L95" s="495"/>
      <c r="M95" s="495"/>
      <c r="N95" s="495"/>
      <c r="O95" s="495"/>
      <c r="P95" s="495"/>
    </row>
    <row r="96" spans="1:16" s="458" customFormat="1" ht="13.2" customHeight="1">
      <c r="A96" s="735"/>
      <c r="B96" s="735" t="s">
        <v>3058</v>
      </c>
      <c r="C96" s="714" t="s">
        <v>2121</v>
      </c>
      <c r="D96" s="716"/>
      <c r="E96" s="716"/>
      <c r="F96" s="719"/>
      <c r="G96" s="719"/>
      <c r="H96" s="882">
        <v>2</v>
      </c>
      <c r="N96" s="721"/>
      <c r="O96" s="721"/>
    </row>
    <row r="97" spans="1:16" s="458" customFormat="1" ht="3.6" customHeight="1">
      <c r="A97" s="735"/>
      <c r="B97" s="735"/>
      <c r="C97" s="495"/>
      <c r="D97" s="495"/>
      <c r="E97" s="495"/>
      <c r="F97" s="495"/>
      <c r="G97" s="495"/>
      <c r="H97" s="495"/>
      <c r="J97" s="495"/>
      <c r="M97" s="495"/>
      <c r="N97" s="495"/>
      <c r="O97" s="495"/>
    </row>
    <row r="98" spans="1:16" s="458" customFormat="1" ht="13.2" customHeight="1">
      <c r="A98" s="735"/>
      <c r="B98" s="735" t="s">
        <v>3061</v>
      </c>
      <c r="C98" s="714" t="s">
        <v>525</v>
      </c>
      <c r="D98" s="716"/>
      <c r="E98" s="716"/>
      <c r="F98" s="719"/>
      <c r="G98" s="719"/>
      <c r="H98" s="900">
        <v>1074816</v>
      </c>
      <c r="J98" s="480"/>
      <c r="K98" s="713"/>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2" customHeight="1">
      <c r="B100" s="735" t="s">
        <v>1237</v>
      </c>
      <c r="C100" s="714" t="s">
        <v>395</v>
      </c>
      <c r="D100" s="716"/>
      <c r="E100" s="716"/>
      <c r="F100" s="719"/>
      <c r="G100" s="719"/>
      <c r="H100" s="719"/>
      <c r="I100" s="719"/>
      <c r="J100" s="480"/>
      <c r="K100" s="719"/>
      <c r="L100" s="719"/>
      <c r="N100" s="721"/>
      <c r="O100" s="721"/>
    </row>
    <row r="101" spans="1:16" s="458" customFormat="1" ht="13.2" customHeight="1">
      <c r="B101" s="735"/>
      <c r="C101" s="716" t="s">
        <v>3233</v>
      </c>
      <c r="D101" s="716"/>
      <c r="F101" s="716" t="s">
        <v>1772</v>
      </c>
      <c r="G101" s="719"/>
      <c r="H101" s="719"/>
      <c r="I101" s="719"/>
      <c r="J101" s="716" t="s">
        <v>3233</v>
      </c>
      <c r="K101" s="716"/>
      <c r="M101" s="716" t="s">
        <v>1772</v>
      </c>
      <c r="N101" s="719"/>
      <c r="O101" s="719"/>
      <c r="P101" s="719"/>
    </row>
    <row r="102" spans="1:16" s="458" customFormat="1" ht="13.2" customHeight="1">
      <c r="A102" s="735"/>
      <c r="B102" s="735"/>
      <c r="C102" s="1060" t="s">
        <v>3928</v>
      </c>
      <c r="D102" s="1061"/>
      <c r="E102" s="1061"/>
      <c r="F102" s="1064" t="s">
        <v>4021</v>
      </c>
      <c r="G102" s="1064"/>
      <c r="H102" s="1064"/>
      <c r="I102" s="1065"/>
      <c r="J102" s="1068" t="s">
        <v>3928</v>
      </c>
      <c r="K102" s="1069"/>
      <c r="L102" s="1069"/>
      <c r="M102" s="1025" t="s">
        <v>3921</v>
      </c>
      <c r="N102" s="1025"/>
      <c r="O102" s="1025"/>
      <c r="P102" s="1026"/>
    </row>
    <row r="103" spans="1:16" s="458" customFormat="1" ht="13.2" customHeight="1">
      <c r="A103" s="735"/>
      <c r="B103" s="735"/>
      <c r="C103" s="1062" t="s">
        <v>3924</v>
      </c>
      <c r="D103" s="1063"/>
      <c r="E103" s="1063"/>
      <c r="F103" s="1064" t="s">
        <v>4021</v>
      </c>
      <c r="G103" s="1064"/>
      <c r="H103" s="1064"/>
      <c r="I103" s="1065"/>
      <c r="J103" s="1066" t="s">
        <v>3924</v>
      </c>
      <c r="K103" s="1067"/>
      <c r="L103" s="1067"/>
      <c r="M103" s="1025" t="s">
        <v>3921</v>
      </c>
      <c r="N103" s="1025"/>
      <c r="O103" s="1025"/>
      <c r="P103" s="1026"/>
    </row>
    <row r="104" spans="1:16" s="458" customFormat="1" ht="13.2" customHeight="1">
      <c r="A104" s="735"/>
      <c r="B104" s="735"/>
      <c r="C104" s="1062" t="s">
        <v>3929</v>
      </c>
      <c r="D104" s="1063"/>
      <c r="E104" s="1063"/>
      <c r="F104" s="1064" t="s">
        <v>4021</v>
      </c>
      <c r="G104" s="1064"/>
      <c r="H104" s="1064"/>
      <c r="I104" s="1065"/>
      <c r="J104" s="1066" t="s">
        <v>3929</v>
      </c>
      <c r="K104" s="1067"/>
      <c r="L104" s="1067"/>
      <c r="M104" s="1025" t="s">
        <v>3921</v>
      </c>
      <c r="N104" s="1025"/>
      <c r="O104" s="1025"/>
      <c r="P104" s="1026"/>
    </row>
    <row r="105" spans="1:16" s="458" customFormat="1" ht="13.2" customHeight="1">
      <c r="A105" s="735"/>
      <c r="B105" s="735"/>
      <c r="C105" s="1062" t="s">
        <v>3930</v>
      </c>
      <c r="D105" s="1063"/>
      <c r="E105" s="1063"/>
      <c r="F105" s="1064" t="s">
        <v>4021</v>
      </c>
      <c r="G105" s="1064"/>
      <c r="H105" s="1064"/>
      <c r="I105" s="1065"/>
      <c r="J105" s="1066" t="s">
        <v>3930</v>
      </c>
      <c r="K105" s="1067"/>
      <c r="L105" s="1067"/>
      <c r="M105" s="1025" t="s">
        <v>3921</v>
      </c>
      <c r="N105" s="1025"/>
      <c r="O105" s="1025"/>
      <c r="P105" s="1026"/>
    </row>
    <row r="106" spans="1:16" s="458" customFormat="1" ht="13.2" customHeight="1">
      <c r="A106" s="735"/>
      <c r="B106" s="735"/>
      <c r="C106" s="1062" t="s">
        <v>3931</v>
      </c>
      <c r="D106" s="1063"/>
      <c r="E106" s="1063"/>
      <c r="F106" s="1064" t="s">
        <v>4021</v>
      </c>
      <c r="G106" s="1064"/>
      <c r="H106" s="1064"/>
      <c r="I106" s="1065"/>
      <c r="J106" s="1066" t="s">
        <v>3931</v>
      </c>
      <c r="K106" s="1067"/>
      <c r="L106" s="1067"/>
      <c r="M106" s="1025" t="s">
        <v>3921</v>
      </c>
      <c r="N106" s="1025"/>
      <c r="O106" s="1025"/>
      <c r="P106" s="1026"/>
    </row>
    <row r="107" spans="1:16" s="458" customFormat="1" ht="13.2" customHeight="1">
      <c r="A107" s="735"/>
      <c r="B107" s="735"/>
      <c r="C107" s="951"/>
      <c r="D107" s="952"/>
      <c r="E107" s="952"/>
      <c r="F107" s="952"/>
      <c r="G107" s="952"/>
      <c r="H107" s="952"/>
      <c r="I107" s="953"/>
      <c r="J107" s="951"/>
      <c r="K107" s="952"/>
      <c r="L107" s="952"/>
      <c r="M107" s="952"/>
      <c r="N107" s="952"/>
      <c r="O107" s="952"/>
      <c r="P107" s="953"/>
    </row>
    <row r="108" spans="1:16" s="458" customFormat="1" ht="13.2" customHeight="1">
      <c r="A108" s="735"/>
      <c r="B108" s="735"/>
      <c r="C108" s="958"/>
      <c r="D108" s="959"/>
      <c r="E108" s="959"/>
      <c r="F108" s="959"/>
      <c r="G108" s="959"/>
      <c r="H108" s="959"/>
      <c r="I108" s="960"/>
      <c r="J108" s="958"/>
      <c r="K108" s="959"/>
      <c r="L108" s="959"/>
      <c r="M108" s="959"/>
      <c r="N108" s="959"/>
      <c r="O108" s="959"/>
      <c r="P108" s="960"/>
    </row>
    <row r="109" spans="1:16" s="458" customFormat="1" ht="4.95" customHeight="1">
      <c r="A109" s="735"/>
      <c r="B109" s="735"/>
      <c r="C109" s="495"/>
      <c r="D109" s="495"/>
      <c r="E109" s="495"/>
      <c r="F109" s="495"/>
      <c r="G109" s="495"/>
      <c r="H109" s="495"/>
      <c r="I109" s="495"/>
      <c r="J109" s="495"/>
      <c r="K109" s="495"/>
      <c r="L109" s="495"/>
      <c r="M109" s="495"/>
      <c r="N109" s="495"/>
      <c r="O109" s="495"/>
      <c r="P109" s="495"/>
    </row>
    <row r="110" spans="1:16" s="458" customFormat="1" ht="13.2" customHeight="1">
      <c r="A110" s="735"/>
      <c r="B110" s="735" t="s">
        <v>3210</v>
      </c>
      <c r="C110" s="1024" t="s">
        <v>2898</v>
      </c>
      <c r="D110" s="1024"/>
      <c r="E110" s="1024"/>
      <c r="F110" s="1024"/>
      <c r="G110" s="1024"/>
      <c r="H110" s="1024"/>
      <c r="I110" s="1024"/>
      <c r="J110" s="1024"/>
      <c r="K110" s="1024"/>
      <c r="L110" s="1024"/>
      <c r="M110" s="1024"/>
      <c r="N110" s="1024"/>
      <c r="O110" s="1024"/>
      <c r="P110" s="1024"/>
    </row>
    <row r="111" spans="1:16" s="458" customFormat="1" ht="13.2" customHeight="1">
      <c r="A111" s="735"/>
      <c r="B111" s="735"/>
      <c r="C111" s="1024"/>
      <c r="D111" s="1024"/>
      <c r="E111" s="1024"/>
      <c r="F111" s="1024"/>
      <c r="G111" s="1024"/>
      <c r="H111" s="1024"/>
      <c r="I111" s="1024"/>
      <c r="J111" s="1024"/>
      <c r="K111" s="1024"/>
      <c r="L111" s="1024"/>
      <c r="M111" s="1024"/>
      <c r="N111" s="1024"/>
      <c r="O111" s="1024"/>
      <c r="P111" s="1024"/>
    </row>
    <row r="112" spans="1:16" s="458" customFormat="1" ht="13.2" customHeight="1">
      <c r="B112" s="735"/>
      <c r="C112" s="716" t="s">
        <v>3233</v>
      </c>
      <c r="D112" s="716"/>
      <c r="F112" s="716" t="s">
        <v>1772</v>
      </c>
      <c r="G112" s="719"/>
      <c r="H112" s="719"/>
      <c r="I112" s="719"/>
      <c r="J112" s="716" t="s">
        <v>3233</v>
      </c>
      <c r="K112" s="716"/>
      <c r="M112" s="716" t="s">
        <v>1772</v>
      </c>
      <c r="N112" s="719"/>
      <c r="O112" s="719"/>
      <c r="P112" s="719"/>
    </row>
    <row r="113" spans="1:16" s="458" customFormat="1" ht="13.2" customHeight="1">
      <c r="A113" s="735"/>
      <c r="B113" s="735"/>
      <c r="C113" s="1020"/>
      <c r="D113" s="1021"/>
      <c r="E113" s="1021"/>
      <c r="F113" s="1021"/>
      <c r="G113" s="1021"/>
      <c r="H113" s="1021"/>
      <c r="I113" s="1022"/>
      <c r="J113" s="1020"/>
      <c r="K113" s="1021"/>
      <c r="L113" s="1021"/>
      <c r="M113" s="1021"/>
      <c r="N113" s="1021"/>
      <c r="O113" s="1021"/>
      <c r="P113" s="1022"/>
    </row>
    <row r="114" spans="1:16" s="458" customFormat="1" ht="13.2" customHeight="1">
      <c r="A114" s="735"/>
      <c r="B114" s="735"/>
      <c r="C114" s="951"/>
      <c r="D114" s="952"/>
      <c r="E114" s="952"/>
      <c r="F114" s="952"/>
      <c r="G114" s="952"/>
      <c r="H114" s="952"/>
      <c r="I114" s="953"/>
      <c r="J114" s="951"/>
      <c r="K114" s="952"/>
      <c r="L114" s="952"/>
      <c r="M114" s="952"/>
      <c r="N114" s="952"/>
      <c r="O114" s="952"/>
      <c r="P114" s="953"/>
    </row>
    <row r="115" spans="1:16" s="458" customFormat="1" ht="13.2" customHeight="1">
      <c r="A115" s="735"/>
      <c r="B115" s="735"/>
      <c r="C115" s="951"/>
      <c r="D115" s="952"/>
      <c r="E115" s="952"/>
      <c r="F115" s="952"/>
      <c r="G115" s="952"/>
      <c r="H115" s="952"/>
      <c r="I115" s="953"/>
      <c r="J115" s="951"/>
      <c r="K115" s="952"/>
      <c r="L115" s="952"/>
      <c r="M115" s="952"/>
      <c r="N115" s="952"/>
      <c r="O115" s="952"/>
      <c r="P115" s="953"/>
    </row>
    <row r="116" spans="1:16" s="458" customFormat="1" ht="13.2" customHeight="1">
      <c r="A116" s="735"/>
      <c r="B116" s="735"/>
      <c r="C116" s="951"/>
      <c r="D116" s="952"/>
      <c r="E116" s="952"/>
      <c r="F116" s="952"/>
      <c r="G116" s="952"/>
      <c r="H116" s="952"/>
      <c r="I116" s="953"/>
      <c r="J116" s="951"/>
      <c r="K116" s="952"/>
      <c r="L116" s="952"/>
      <c r="M116" s="952"/>
      <c r="N116" s="952"/>
      <c r="O116" s="952"/>
      <c r="P116" s="953"/>
    </row>
    <row r="117" spans="1:16" s="458" customFormat="1" ht="13.2" customHeight="1">
      <c r="A117" s="735"/>
      <c r="B117" s="735"/>
      <c r="C117" s="951"/>
      <c r="D117" s="952"/>
      <c r="E117" s="952"/>
      <c r="F117" s="952"/>
      <c r="G117" s="952"/>
      <c r="H117" s="952"/>
      <c r="I117" s="953"/>
      <c r="J117" s="951"/>
      <c r="K117" s="952"/>
      <c r="L117" s="952"/>
      <c r="M117" s="952"/>
      <c r="N117" s="952"/>
      <c r="O117" s="952"/>
      <c r="P117" s="953"/>
    </row>
    <row r="118" spans="1:16" s="458" customFormat="1" ht="13.2" customHeight="1">
      <c r="A118" s="735"/>
      <c r="B118" s="735"/>
      <c r="C118" s="951"/>
      <c r="D118" s="952"/>
      <c r="E118" s="952"/>
      <c r="F118" s="952"/>
      <c r="G118" s="952"/>
      <c r="H118" s="952"/>
      <c r="I118" s="953"/>
      <c r="J118" s="951"/>
      <c r="K118" s="952"/>
      <c r="L118" s="952"/>
      <c r="M118" s="952"/>
      <c r="N118" s="952"/>
      <c r="O118" s="952"/>
      <c r="P118" s="953"/>
    </row>
    <row r="119" spans="1:16" s="458" customFormat="1" ht="13.2" customHeight="1">
      <c r="A119" s="735"/>
      <c r="B119" s="735"/>
      <c r="C119" s="958"/>
      <c r="D119" s="959"/>
      <c r="E119" s="959"/>
      <c r="F119" s="959"/>
      <c r="G119" s="959"/>
      <c r="H119" s="959"/>
      <c r="I119" s="960"/>
      <c r="J119" s="958"/>
      <c r="K119" s="959"/>
      <c r="L119" s="959"/>
      <c r="M119" s="959"/>
      <c r="N119" s="959"/>
      <c r="O119" s="959"/>
      <c r="P119" s="960"/>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2" customHeight="1">
      <c r="A121" s="491" t="s">
        <v>464</v>
      </c>
      <c r="B121" s="735"/>
      <c r="C121" s="488" t="s">
        <v>3663</v>
      </c>
      <c r="D121" s="488"/>
      <c r="E121" s="488"/>
      <c r="F121" s="488"/>
      <c r="H121" s="877" t="s">
        <v>3918</v>
      </c>
      <c r="M121" s="719"/>
      <c r="N121" s="721"/>
      <c r="O121" s="721"/>
      <c r="P121" s="469"/>
    </row>
    <row r="122" spans="1:16" s="458" customFormat="1" ht="3" customHeight="1">
      <c r="A122" s="491"/>
      <c r="B122" s="735"/>
      <c r="C122" s="714"/>
      <c r="D122" s="714"/>
      <c r="E122" s="714"/>
      <c r="F122" s="714"/>
      <c r="G122" s="719"/>
      <c r="M122" s="719"/>
      <c r="N122" s="721"/>
      <c r="O122" s="721"/>
    </row>
    <row r="123" spans="1:16" s="458" customFormat="1" ht="13.2" customHeight="1">
      <c r="A123" s="735"/>
      <c r="B123" s="735" t="s">
        <v>3058</v>
      </c>
      <c r="C123" s="465" t="s">
        <v>2730</v>
      </c>
      <c r="H123" s="877" t="s">
        <v>3918</v>
      </c>
      <c r="M123" s="719"/>
      <c r="N123" s="721"/>
      <c r="O123" s="721"/>
      <c r="P123" s="469"/>
    </row>
    <row r="124" spans="1:16" s="458" customFormat="1" ht="13.2" customHeight="1">
      <c r="A124" s="735"/>
      <c r="B124" s="735"/>
      <c r="C124" s="716" t="s">
        <v>3665</v>
      </c>
      <c r="D124" s="716"/>
      <c r="E124" s="716"/>
      <c r="F124" s="719"/>
      <c r="H124" s="901">
        <v>1988</v>
      </c>
      <c r="N124" s="721"/>
      <c r="O124" s="721"/>
      <c r="P124" s="469"/>
    </row>
    <row r="125" spans="1:16" s="458" customFormat="1" ht="13.2" customHeight="1">
      <c r="A125" s="735"/>
      <c r="B125" s="735"/>
      <c r="C125" s="496" t="s">
        <v>2729</v>
      </c>
      <c r="D125" s="464"/>
      <c r="H125" s="956" t="s">
        <v>3983</v>
      </c>
      <c r="I125" s="957"/>
      <c r="P125" s="469"/>
    </row>
    <row r="126" spans="1:16" s="458" customFormat="1" ht="13.2" customHeight="1">
      <c r="A126" s="735"/>
      <c r="B126" s="735"/>
      <c r="C126" s="716" t="s">
        <v>3666</v>
      </c>
      <c r="D126" s="716"/>
      <c r="E126" s="716"/>
      <c r="F126" s="719"/>
      <c r="H126" s="901">
        <v>1988</v>
      </c>
      <c r="K126" s="418" t="s">
        <v>3373</v>
      </c>
      <c r="O126" s="956" t="s">
        <v>3981</v>
      </c>
      <c r="P126" s="957"/>
    </row>
    <row r="127" spans="1:16" s="458" customFormat="1" ht="13.2" customHeight="1">
      <c r="A127" s="735"/>
      <c r="B127" s="735"/>
      <c r="C127" s="716" t="s">
        <v>3664</v>
      </c>
      <c r="F127" s="719"/>
      <c r="H127" s="882" t="s">
        <v>3918</v>
      </c>
      <c r="K127" s="418" t="s">
        <v>3374</v>
      </c>
      <c r="O127" s="956" t="s">
        <v>3982</v>
      </c>
      <c r="P127" s="957"/>
    </row>
    <row r="128" spans="1:16" s="458" customFormat="1" ht="13.2" customHeight="1">
      <c r="A128" s="735"/>
      <c r="B128" s="735"/>
      <c r="C128" s="716" t="s">
        <v>3271</v>
      </c>
      <c r="D128" s="716"/>
      <c r="E128" s="716"/>
      <c r="F128" s="719"/>
      <c r="H128" s="954">
        <v>37694</v>
      </c>
      <c r="I128" s="955"/>
      <c r="N128" s="721"/>
      <c r="O128" s="721"/>
      <c r="P128" s="469"/>
    </row>
    <row r="129" spans="1:16" s="458" customFormat="1" ht="3" customHeight="1">
      <c r="A129" s="735"/>
      <c r="B129" s="735"/>
      <c r="C129" s="716"/>
      <c r="D129" s="716"/>
      <c r="E129" s="716"/>
      <c r="F129" s="719"/>
      <c r="N129" s="721"/>
      <c r="O129" s="721"/>
      <c r="P129" s="469"/>
    </row>
    <row r="130" spans="1:16" s="458" customFormat="1" ht="13.2" customHeight="1">
      <c r="A130" s="735"/>
      <c r="B130" s="735" t="s">
        <v>3061</v>
      </c>
      <c r="C130" s="714" t="s">
        <v>3768</v>
      </c>
      <c r="D130" s="716"/>
      <c r="E130" s="716"/>
      <c r="F130" s="719"/>
      <c r="H130" s="882" t="s">
        <v>3919</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2" customHeight="1">
      <c r="A132" s="735"/>
      <c r="B132" s="735" t="s">
        <v>1237</v>
      </c>
      <c r="C132" s="714" t="s">
        <v>980</v>
      </c>
      <c r="D132" s="716"/>
      <c r="E132" s="716"/>
      <c r="F132" s="719"/>
      <c r="G132" s="719"/>
      <c r="N132" s="721"/>
      <c r="O132" s="721"/>
      <c r="P132" s="469"/>
    </row>
    <row r="133" spans="1:16" s="458" customFormat="1" ht="13.2" customHeight="1">
      <c r="A133" s="735"/>
      <c r="B133" s="735"/>
      <c r="C133" s="716" t="s">
        <v>1084</v>
      </c>
      <c r="D133" s="716"/>
      <c r="E133" s="716"/>
      <c r="F133" s="719"/>
      <c r="G133" s="719"/>
      <c r="H133" s="882" t="s">
        <v>3919</v>
      </c>
      <c r="K133" s="716" t="s">
        <v>2285</v>
      </c>
      <c r="L133" s="716"/>
      <c r="M133" s="719"/>
      <c r="N133" s="719"/>
      <c r="O133" s="882" t="s">
        <v>3919</v>
      </c>
      <c r="P133" s="469"/>
    </row>
    <row r="134" spans="1:16" s="458" customFormat="1" ht="13.2" customHeight="1">
      <c r="A134" s="735"/>
      <c r="B134" s="735"/>
      <c r="C134" s="716" t="s">
        <v>1085</v>
      </c>
      <c r="D134" s="716"/>
      <c r="E134" s="716"/>
      <c r="F134" s="719"/>
      <c r="G134" s="719"/>
      <c r="H134" s="882" t="s">
        <v>3919</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2" customHeight="1">
      <c r="A136" s="491" t="s">
        <v>465</v>
      </c>
      <c r="B136" s="735"/>
      <c r="C136" s="488" t="s">
        <v>1834</v>
      </c>
      <c r="D136" s="488"/>
      <c r="E136" s="488"/>
      <c r="F136" s="488"/>
      <c r="G136" s="719"/>
      <c r="H136" s="719"/>
      <c r="I136" s="719"/>
      <c r="J136" s="480"/>
      <c r="K136" s="719"/>
      <c r="L136" s="719"/>
      <c r="N136" s="721"/>
      <c r="O136" s="721"/>
      <c r="P136" s="469"/>
    </row>
    <row r="137" spans="1:16" s="458" customFormat="1" ht="1.95" customHeight="1">
      <c r="A137" s="491"/>
      <c r="B137" s="735"/>
      <c r="C137" s="714"/>
      <c r="D137" s="714"/>
      <c r="E137" s="714"/>
      <c r="F137" s="714"/>
      <c r="G137" s="719"/>
      <c r="H137" s="719"/>
      <c r="I137" s="719"/>
      <c r="J137" s="480"/>
      <c r="K137" s="719"/>
      <c r="L137" s="719"/>
      <c r="N137" s="721"/>
      <c r="O137" s="721"/>
    </row>
    <row r="138" spans="1:16" s="458" customFormat="1" ht="13.2" customHeight="1">
      <c r="A138" s="735"/>
      <c r="B138" s="735" t="s">
        <v>3058</v>
      </c>
      <c r="C138" s="479" t="s">
        <v>2863</v>
      </c>
      <c r="F138" s="719"/>
      <c r="G138" s="719"/>
      <c r="H138" s="719"/>
      <c r="I138" s="719"/>
      <c r="J138" s="480"/>
      <c r="K138" s="719"/>
      <c r="L138" s="719"/>
      <c r="N138" s="721"/>
      <c r="O138" s="721"/>
      <c r="P138" s="469"/>
    </row>
    <row r="139" spans="1:16" s="458" customFormat="1" ht="12.6" customHeight="1">
      <c r="A139" s="735"/>
      <c r="B139" s="735"/>
      <c r="C139" s="487" t="s">
        <v>2277</v>
      </c>
      <c r="D139" s="480"/>
      <c r="E139" s="480"/>
      <c r="F139" s="719"/>
      <c r="G139" s="719"/>
      <c r="H139" s="719"/>
      <c r="I139" s="719"/>
      <c r="K139" s="882"/>
      <c r="N139" s="721"/>
      <c r="O139" s="721"/>
      <c r="P139" s="469"/>
    </row>
    <row r="140" spans="1:16" s="458" customFormat="1" ht="12.6" customHeight="1">
      <c r="A140" s="735"/>
      <c r="B140" s="735"/>
      <c r="C140" s="458" t="s">
        <v>948</v>
      </c>
      <c r="K140" s="899"/>
      <c r="L140" s="464" t="s">
        <v>2825</v>
      </c>
      <c r="P140" s="497">
        <f>IF('Part VI-Revenues &amp; Expenses'!$M$61=0,0,$K140/'Part VI-Revenues &amp; Expenses'!$M$61)</f>
        <v>0</v>
      </c>
    </row>
    <row r="141" spans="1:16" s="458" customFormat="1" ht="12.6" customHeight="1">
      <c r="A141" s="735"/>
      <c r="B141" s="735"/>
      <c r="C141" s="458" t="s">
        <v>3272</v>
      </c>
      <c r="K141" s="899"/>
      <c r="L141" s="464" t="s">
        <v>2825</v>
      </c>
      <c r="P141" s="497">
        <f>IF('Part VI-Revenues &amp; Expenses'!$M$61=0,0,$K141/'Part VI-Revenues &amp; Expenses'!$M$61)</f>
        <v>0</v>
      </c>
    </row>
    <row r="142" spans="1:16" s="458" customFormat="1" ht="12.6" customHeight="1">
      <c r="A142" s="735"/>
      <c r="B142" s="735"/>
      <c r="C142" s="458" t="s">
        <v>2826</v>
      </c>
      <c r="E142" s="956"/>
      <c r="F142" s="964"/>
      <c r="G142" s="964"/>
      <c r="H142" s="964"/>
      <c r="I142" s="964"/>
      <c r="J142" s="964"/>
      <c r="K142" s="957"/>
      <c r="L142" s="498" t="s">
        <v>2827</v>
      </c>
      <c r="M142" s="956"/>
      <c r="N142" s="964"/>
      <c r="O142" s="964"/>
      <c r="P142" s="957"/>
    </row>
    <row r="143" spans="1:16" s="458" customFormat="1" ht="12.6" customHeight="1">
      <c r="A143" s="735"/>
      <c r="B143" s="735"/>
      <c r="C143" s="464" t="s">
        <v>2828</v>
      </c>
      <c r="D143" s="472"/>
      <c r="E143" s="956"/>
      <c r="F143" s="964"/>
      <c r="G143" s="964"/>
      <c r="H143" s="964"/>
      <c r="I143" s="964"/>
      <c r="J143" s="964"/>
      <c r="K143" s="965"/>
      <c r="L143" s="713" t="s">
        <v>2830</v>
      </c>
      <c r="M143" s="961"/>
      <c r="N143" s="962"/>
      <c r="O143" s="962"/>
      <c r="P143" s="963"/>
    </row>
    <row r="144" spans="1:16" s="458" customFormat="1" ht="12.6" customHeight="1">
      <c r="A144" s="735"/>
      <c r="B144" s="735"/>
      <c r="C144" s="464" t="s">
        <v>952</v>
      </c>
      <c r="E144" s="956"/>
      <c r="F144" s="964"/>
      <c r="G144" s="964"/>
      <c r="H144" s="957"/>
      <c r="I144" s="493" t="s">
        <v>3352</v>
      </c>
      <c r="J144" s="986"/>
      <c r="K144" s="987"/>
      <c r="L144" s="498" t="s">
        <v>2833</v>
      </c>
      <c r="M144" s="948"/>
      <c r="N144" s="949"/>
      <c r="O144" s="950"/>
    </row>
    <row r="145" spans="1:16" s="458" customFormat="1" ht="12.6" customHeight="1">
      <c r="A145" s="735"/>
      <c r="B145" s="735"/>
      <c r="C145" s="464" t="s">
        <v>2831</v>
      </c>
      <c r="E145" s="948"/>
      <c r="F145" s="949"/>
      <c r="G145" s="950"/>
      <c r="H145" s="499" t="s">
        <v>2832</v>
      </c>
      <c r="I145" s="948"/>
      <c r="J145" s="949"/>
      <c r="K145" s="950"/>
      <c r="L145" s="500" t="s">
        <v>3054</v>
      </c>
      <c r="M145" s="948"/>
      <c r="N145" s="949"/>
      <c r="O145" s="950"/>
    </row>
    <row r="146" spans="1:16" s="458" customFormat="1" ht="1.95"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3061</v>
      </c>
      <c r="C147" s="714" t="s">
        <v>2371</v>
      </c>
      <c r="D147" s="714"/>
      <c r="E147" s="714"/>
      <c r="F147" s="714"/>
      <c r="G147" s="714"/>
      <c r="I147" s="882" t="s">
        <v>3919</v>
      </c>
      <c r="J147" s="997" t="s">
        <v>1252</v>
      </c>
      <c r="K147" s="998"/>
      <c r="L147" s="882"/>
      <c r="M147" s="994" t="s">
        <v>3469</v>
      </c>
      <c r="N147" s="995"/>
      <c r="O147" s="996"/>
      <c r="P147" s="901"/>
    </row>
    <row r="148" spans="1:16" s="458" customFormat="1" ht="1.95" customHeight="1">
      <c r="A148" s="735"/>
      <c r="B148" s="735"/>
      <c r="C148" s="714"/>
      <c r="D148" s="714"/>
      <c r="E148" s="461"/>
      <c r="F148" s="714"/>
      <c r="G148" s="714"/>
      <c r="J148" s="468"/>
      <c r="K148" s="502"/>
      <c r="M148" s="721"/>
      <c r="O148" s="719"/>
      <c r="P148" s="469"/>
    </row>
    <row r="149" spans="1:16" s="458" customFormat="1" ht="12.6" customHeight="1">
      <c r="A149" s="735"/>
      <c r="B149" s="735" t="s">
        <v>1237</v>
      </c>
      <c r="C149" s="714" t="s">
        <v>2784</v>
      </c>
      <c r="D149" s="714"/>
      <c r="E149" s="714"/>
      <c r="F149" s="714"/>
      <c r="G149" s="714"/>
      <c r="I149" s="882" t="s">
        <v>3919</v>
      </c>
      <c r="L149" s="418"/>
      <c r="M149" s="418"/>
      <c r="P149" s="469"/>
    </row>
    <row r="150" spans="1:16" s="458" customFormat="1" ht="1.95"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3210</v>
      </c>
      <c r="C151" s="993" t="s">
        <v>3053</v>
      </c>
      <c r="D151" s="993"/>
      <c r="E151" s="993"/>
      <c r="F151" s="993"/>
      <c r="G151" s="714"/>
      <c r="I151" s="882" t="s">
        <v>3918</v>
      </c>
    </row>
    <row r="152" spans="1:16" s="458" customFormat="1" ht="12.6" customHeight="1">
      <c r="B152" s="735"/>
      <c r="C152" s="992" t="s">
        <v>2208</v>
      </c>
      <c r="D152" s="992"/>
      <c r="E152" s="714"/>
      <c r="F152" s="714"/>
      <c r="G152" s="714"/>
      <c r="I152" s="902">
        <v>48</v>
      </c>
    </row>
    <row r="153" spans="1:16" s="458" customFormat="1" ht="12.6" customHeight="1">
      <c r="A153" s="735"/>
      <c r="B153" s="735"/>
      <c r="C153" s="989" t="s">
        <v>1378</v>
      </c>
      <c r="D153" s="989"/>
      <c r="E153" s="461"/>
      <c r="F153" s="714"/>
      <c r="G153" s="714"/>
      <c r="I153" s="902">
        <v>43</v>
      </c>
      <c r="K153" s="468"/>
      <c r="P153" s="469"/>
    </row>
    <row r="154" spans="1:16" s="458" customFormat="1" ht="12.6" customHeight="1">
      <c r="B154" s="735"/>
      <c r="C154" s="989" t="s">
        <v>2821</v>
      </c>
      <c r="D154" s="989"/>
      <c r="E154" s="461"/>
      <c r="F154" s="714"/>
      <c r="G154" s="714"/>
      <c r="I154" s="503">
        <f>IF(I152="","",I153/I152)</f>
        <v>0.89583333333333337</v>
      </c>
      <c r="K154" s="468"/>
      <c r="M154" s="721"/>
      <c r="P154" s="469"/>
    </row>
    <row r="155" spans="1:16" s="458" customFormat="1" ht="1.95" customHeight="1">
      <c r="A155" s="735"/>
      <c r="B155" s="735"/>
      <c r="C155" s="714"/>
      <c r="D155" s="714"/>
      <c r="E155" s="461"/>
      <c r="F155" s="714"/>
      <c r="G155" s="714"/>
      <c r="H155" s="502"/>
      <c r="J155" s="468"/>
      <c r="K155" s="480"/>
      <c r="M155" s="721"/>
      <c r="O155" s="719"/>
      <c r="P155" s="469"/>
    </row>
    <row r="156" spans="1:16" s="458" customFormat="1" ht="13.2" customHeight="1">
      <c r="A156" s="735"/>
      <c r="B156" s="735" t="s">
        <v>2761</v>
      </c>
      <c r="C156" s="395" t="s">
        <v>2372</v>
      </c>
      <c r="D156" s="716"/>
      <c r="E156" s="716"/>
      <c r="F156" s="716"/>
      <c r="G156" s="716"/>
      <c r="H156" s="719"/>
      <c r="J156" s="468"/>
      <c r="K156" s="480"/>
      <c r="M156" s="721"/>
      <c r="O156" s="719"/>
      <c r="P156" s="469"/>
    </row>
    <row r="157" spans="1:16" s="458" customFormat="1" ht="12.6" customHeight="1">
      <c r="A157" s="735"/>
      <c r="B157" s="735"/>
      <c r="C157" s="721" t="s">
        <v>3326</v>
      </c>
      <c r="D157" s="470"/>
      <c r="E157" s="721"/>
      <c r="F157" s="721"/>
      <c r="I157" s="882" t="s">
        <v>3919</v>
      </c>
      <c r="L157" s="721" t="s">
        <v>3325</v>
      </c>
      <c r="P157" s="882" t="s">
        <v>3919</v>
      </c>
    </row>
    <row r="158" spans="1:16" s="458" customFormat="1" ht="12.6" customHeight="1">
      <c r="A158" s="735"/>
      <c r="B158" s="735"/>
      <c r="C158" s="721" t="s">
        <v>3328</v>
      </c>
      <c r="I158" s="882" t="s">
        <v>3918</v>
      </c>
      <c r="L158" s="721" t="s">
        <v>2374</v>
      </c>
      <c r="P158" s="882" t="s">
        <v>3919</v>
      </c>
    </row>
    <row r="159" spans="1:16" s="458" customFormat="1" ht="12.6" customHeight="1">
      <c r="A159" s="735"/>
      <c r="C159" s="721" t="s">
        <v>1978</v>
      </c>
      <c r="D159" s="505"/>
      <c r="I159" s="882" t="s">
        <v>3919</v>
      </c>
      <c r="L159" s="721" t="s">
        <v>2543</v>
      </c>
      <c r="P159" s="882" t="s">
        <v>3919</v>
      </c>
    </row>
    <row r="160" spans="1:16" s="458" customFormat="1" ht="12.6" customHeight="1">
      <c r="A160" s="735"/>
      <c r="B160" s="735"/>
      <c r="C160" s="721" t="s">
        <v>2373</v>
      </c>
      <c r="D160" s="470"/>
      <c r="E160" s="721"/>
      <c r="F160" s="721"/>
      <c r="I160" s="882" t="s">
        <v>3918</v>
      </c>
      <c r="K160" s="470"/>
      <c r="L160" s="721" t="s">
        <v>2288</v>
      </c>
      <c r="M160" s="721"/>
      <c r="P160" s="882" t="s">
        <v>3919</v>
      </c>
    </row>
    <row r="161" spans="1:16" s="458" customFormat="1" ht="12.6" customHeight="1">
      <c r="A161" s="735"/>
      <c r="B161" s="735"/>
      <c r="C161" s="721" t="s">
        <v>2375</v>
      </c>
      <c r="D161" s="470"/>
      <c r="E161" s="721"/>
      <c r="F161" s="721"/>
      <c r="I161" s="882" t="s">
        <v>3918</v>
      </c>
      <c r="K161" s="470"/>
      <c r="L161" s="721"/>
      <c r="M161" s="721"/>
    </row>
    <row r="162" spans="1:16" s="458" customFormat="1" ht="12.6" customHeight="1">
      <c r="A162" s="735"/>
      <c r="B162" s="461"/>
      <c r="C162" s="721" t="s">
        <v>2843</v>
      </c>
      <c r="D162" s="470"/>
      <c r="I162" s="882" t="s">
        <v>3919</v>
      </c>
      <c r="J162" s="504" t="s">
        <v>3372</v>
      </c>
      <c r="O162" s="990"/>
      <c r="P162" s="991"/>
    </row>
    <row r="163" spans="1:16" s="458" customFormat="1" ht="12.6" customHeight="1">
      <c r="A163" s="735"/>
      <c r="B163" s="735"/>
      <c r="C163" s="721" t="s">
        <v>3408</v>
      </c>
      <c r="E163" s="1027"/>
      <c r="F163" s="1028"/>
      <c r="G163" s="1028"/>
      <c r="H163" s="1029"/>
      <c r="I163" s="882"/>
    </row>
    <row r="164" spans="1:16" s="458" customFormat="1" ht="1.95" customHeight="1">
      <c r="A164" s="735"/>
      <c r="B164" s="735"/>
      <c r="P164" s="468"/>
    </row>
    <row r="165" spans="1:16" s="458" customFormat="1" ht="13.2" customHeight="1">
      <c r="B165" s="735" t="s">
        <v>2762</v>
      </c>
      <c r="C165" s="465" t="s">
        <v>1227</v>
      </c>
    </row>
    <row r="166" spans="1:16" s="458" customFormat="1" ht="12.6" customHeight="1">
      <c r="A166" s="735"/>
      <c r="B166" s="735"/>
      <c r="C166" s="464" t="s">
        <v>974</v>
      </c>
      <c r="D166" s="716"/>
      <c r="E166" s="716"/>
      <c r="F166" s="719"/>
      <c r="G166" s="719"/>
      <c r="I166" s="954">
        <v>41061</v>
      </c>
      <c r="J166" s="955"/>
      <c r="N166" s="721"/>
      <c r="O166" s="721"/>
      <c r="P166" s="469"/>
    </row>
    <row r="167" spans="1:16" s="458" customFormat="1" ht="12.6" customHeight="1">
      <c r="A167" s="735"/>
      <c r="B167" s="735"/>
      <c r="C167" s="464" t="s">
        <v>367</v>
      </c>
      <c r="D167" s="716"/>
      <c r="E167" s="716"/>
      <c r="F167" s="719"/>
      <c r="G167" s="719"/>
      <c r="I167" s="954">
        <v>41334</v>
      </c>
      <c r="J167" s="955"/>
      <c r="N167" s="721"/>
      <c r="O167" s="721"/>
      <c r="P167" s="469"/>
    </row>
    <row r="168" spans="1:16" s="458" customFormat="1" ht="12.6" customHeight="1">
      <c r="A168" s="735"/>
      <c r="B168" s="735"/>
      <c r="C168" s="464" t="s">
        <v>3434</v>
      </c>
      <c r="D168" s="716"/>
      <c r="E168" s="716"/>
      <c r="F168" s="719"/>
      <c r="G168" s="719"/>
      <c r="I168" s="954"/>
      <c r="J168" s="955"/>
      <c r="N168" s="721"/>
      <c r="O168" s="721"/>
      <c r="P168" s="469"/>
    </row>
    <row r="169" spans="1:16" s="458" customFormat="1" ht="1.95" customHeight="1">
      <c r="B169" s="461"/>
      <c r="C169" s="721"/>
      <c r="H169" s="721"/>
      <c r="L169" s="482"/>
      <c r="M169" s="482"/>
      <c r="N169" s="482"/>
      <c r="O169" s="482"/>
      <c r="P169" s="466"/>
    </row>
    <row r="170" spans="1:16" ht="12" customHeight="1">
      <c r="A170" s="491" t="s">
        <v>2751</v>
      </c>
      <c r="C170" s="491" t="s">
        <v>878</v>
      </c>
      <c r="K170" s="491" t="s">
        <v>3379</v>
      </c>
      <c r="L170" s="491" t="s">
        <v>89</v>
      </c>
    </row>
    <row r="171" spans="1:16" ht="38.4" customHeight="1">
      <c r="A171" s="1008" t="s">
        <v>3984</v>
      </c>
      <c r="B171" s="1009"/>
      <c r="C171" s="1009"/>
      <c r="D171" s="1009"/>
      <c r="E171" s="1009"/>
      <c r="F171" s="1009"/>
      <c r="G171" s="1009"/>
      <c r="H171" s="1009"/>
      <c r="I171" s="1009"/>
      <c r="J171" s="1010"/>
      <c r="K171" s="1011"/>
      <c r="L171" s="1012"/>
      <c r="M171" s="1012"/>
      <c r="N171" s="1012"/>
      <c r="O171" s="1012"/>
      <c r="P171" s="1013"/>
    </row>
    <row r="172" spans="1:16" ht="38.4" customHeight="1">
      <c r="A172" s="1005"/>
      <c r="B172" s="1006"/>
      <c r="C172" s="1006"/>
      <c r="D172" s="1006"/>
      <c r="E172" s="1006"/>
      <c r="F172" s="1006"/>
      <c r="G172" s="1006"/>
      <c r="H172" s="1006"/>
      <c r="I172" s="1006"/>
      <c r="J172" s="1007"/>
      <c r="K172" s="1002"/>
      <c r="L172" s="1003"/>
      <c r="M172" s="1003"/>
      <c r="N172" s="1003"/>
      <c r="O172" s="1003"/>
      <c r="P172" s="1004"/>
    </row>
    <row r="173" spans="1:16" ht="38.4" customHeight="1">
      <c r="A173" s="1014"/>
      <c r="B173" s="1015"/>
      <c r="C173" s="1015"/>
      <c r="D173" s="1015"/>
      <c r="E173" s="1015"/>
      <c r="F173" s="1015"/>
      <c r="G173" s="1015"/>
      <c r="H173" s="1015"/>
      <c r="I173" s="1015"/>
      <c r="J173" s="1016"/>
      <c r="K173" s="1017"/>
      <c r="L173" s="1018"/>
      <c r="M173" s="1018"/>
      <c r="N173" s="1018"/>
      <c r="O173" s="1018"/>
      <c r="P173" s="101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2829</v>
      </c>
      <c r="C182" s="623" t="s">
        <v>1867</v>
      </c>
      <c r="D182" s="623" t="s">
        <v>1868</v>
      </c>
      <c r="E182" s="623" t="s">
        <v>1869</v>
      </c>
      <c r="F182" s="623" t="s">
        <v>1791</v>
      </c>
      <c r="G182" s="623" t="s">
        <v>538</v>
      </c>
      <c r="H182" s="624" t="s">
        <v>1799</v>
      </c>
      <c r="I182" s="625"/>
      <c r="J182" s="623" t="s">
        <v>3635</v>
      </c>
      <c r="K182" s="623"/>
      <c r="L182" s="626"/>
      <c r="M182" s="627"/>
      <c r="N182" s="627" t="s">
        <v>952</v>
      </c>
      <c r="O182" s="628" t="s">
        <v>953</v>
      </c>
      <c r="P182" s="627" t="s">
        <v>3241</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3636</v>
      </c>
      <c r="O183" s="636" t="s">
        <v>3025</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3760</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3174</v>
      </c>
      <c r="K186" s="635"/>
      <c r="L186" s="626"/>
      <c r="M186" s="627"/>
      <c r="N186" s="636" t="s">
        <v>677</v>
      </c>
      <c r="O186" s="636" t="s">
        <v>3816</v>
      </c>
      <c r="P186" s="507" t="s">
        <v>2380</v>
      </c>
      <c r="Q186" s="611"/>
      <c r="S186" s="611"/>
      <c r="T186" s="636" t="s">
        <v>2368</v>
      </c>
      <c r="U186" s="636" t="s">
        <v>3815</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3176</v>
      </c>
      <c r="K187" s="635"/>
      <c r="L187" s="626"/>
      <c r="M187" s="627"/>
      <c r="N187" s="636" t="s">
        <v>3175</v>
      </c>
      <c r="O187" s="636" t="s">
        <v>427</v>
      </c>
      <c r="P187" s="507" t="s">
        <v>2381</v>
      </c>
      <c r="Q187" s="611"/>
      <c r="S187" s="611"/>
      <c r="T187" s="636" t="s">
        <v>2851</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2864</v>
      </c>
      <c r="H188" s="632" t="s">
        <v>536</v>
      </c>
      <c r="I188" s="633"/>
      <c r="J188" s="634" t="s">
        <v>3178</v>
      </c>
      <c r="K188" s="635"/>
      <c r="L188" s="626"/>
      <c r="M188" s="627"/>
      <c r="N188" s="636" t="s">
        <v>3177</v>
      </c>
      <c r="O188" s="636" t="s">
        <v>241</v>
      </c>
      <c r="P188" s="507" t="s">
        <v>2382</v>
      </c>
      <c r="Q188" s="611"/>
      <c r="S188" s="611"/>
      <c r="T188" s="636" t="s">
        <v>3220</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3885</v>
      </c>
      <c r="H189" s="632" t="s">
        <v>537</v>
      </c>
      <c r="I189" s="638"/>
      <c r="J189" s="634" t="s">
        <v>3180</v>
      </c>
      <c r="K189" s="635"/>
      <c r="L189" s="626"/>
      <c r="M189" s="627"/>
      <c r="N189" s="636" t="s">
        <v>3179</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3885</v>
      </c>
      <c r="H190" s="632" t="s">
        <v>537</v>
      </c>
      <c r="I190" s="638"/>
      <c r="J190" s="634" t="s">
        <v>3182</v>
      </c>
      <c r="K190" s="635"/>
      <c r="L190" s="626"/>
      <c r="M190" s="627"/>
      <c r="N190" s="636" t="s">
        <v>3181</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3886</v>
      </c>
      <c r="H191" s="632" t="s">
        <v>536</v>
      </c>
      <c r="I191" s="633"/>
      <c r="J191" s="634" t="s">
        <v>3037</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3887</v>
      </c>
      <c r="H192" s="632" t="s">
        <v>536</v>
      </c>
      <c r="I192" s="633"/>
      <c r="J192" s="634" t="s">
        <v>237</v>
      </c>
      <c r="K192" s="639"/>
      <c r="L192" s="507"/>
      <c r="M192" s="627"/>
      <c r="N192" s="636" t="s">
        <v>3038</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3888</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3889</v>
      </c>
      <c r="H194" s="632" t="s">
        <v>536</v>
      </c>
      <c r="I194" s="638"/>
      <c r="J194" s="634" t="s">
        <v>657</v>
      </c>
      <c r="K194" s="635"/>
      <c r="L194" s="626"/>
      <c r="M194" s="627"/>
      <c r="N194" s="636" t="s">
        <v>240</v>
      </c>
      <c r="O194" s="636" t="s">
        <v>3632</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3890</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3891</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3909</v>
      </c>
      <c r="H198" s="632" t="s">
        <v>536</v>
      </c>
      <c r="I198" s="638"/>
      <c r="J198" s="634" t="s">
        <v>3391</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3910</v>
      </c>
      <c r="H199" s="632" t="s">
        <v>537</v>
      </c>
      <c r="I199" s="638"/>
      <c r="J199" s="634" t="s">
        <v>3393</v>
      </c>
      <c r="K199" s="635"/>
      <c r="L199" s="626"/>
      <c r="M199" s="627"/>
      <c r="N199" s="636" t="s">
        <v>3392</v>
      </c>
      <c r="O199" s="636" t="s">
        <v>3761</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2899</v>
      </c>
      <c r="O200" s="636" t="s">
        <v>3283</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3283</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3842</v>
      </c>
      <c r="K202" s="635"/>
      <c r="L202" s="626"/>
      <c r="M202" s="627"/>
      <c r="N202" s="636" t="s">
        <v>3843</v>
      </c>
      <c r="O202" s="636" t="s">
        <v>3820</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3844</v>
      </c>
      <c r="K203" s="635"/>
      <c r="L203" s="626"/>
      <c r="M203" s="627"/>
      <c r="N203" s="636" t="s">
        <v>3845</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3885</v>
      </c>
      <c r="H204" s="632" t="s">
        <v>537</v>
      </c>
      <c r="I204" s="638"/>
      <c r="J204" s="634" t="s">
        <v>3846</v>
      </c>
      <c r="K204" s="635"/>
      <c r="L204" s="626"/>
      <c r="M204" s="627"/>
      <c r="N204" s="636" t="s">
        <v>3847</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3848</v>
      </c>
      <c r="K205" s="635"/>
      <c r="L205" s="626"/>
      <c r="M205" s="627"/>
      <c r="N205" s="636" t="s">
        <v>3849</v>
      </c>
      <c r="O205" s="636" t="s">
        <v>3758</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3850</v>
      </c>
      <c r="K206" s="635"/>
      <c r="L206" s="626"/>
      <c r="M206" s="627"/>
      <c r="N206" s="636" t="s">
        <v>3851</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3852</v>
      </c>
      <c r="K207" s="635"/>
      <c r="L207" s="626"/>
      <c r="M207" s="627"/>
      <c r="N207" s="636" t="s">
        <v>3854</v>
      </c>
      <c r="O207" s="636" t="s">
        <v>3902</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3853</v>
      </c>
      <c r="K208" s="635"/>
      <c r="L208" s="626"/>
      <c r="M208" s="627"/>
      <c r="N208" s="636" t="s">
        <v>3856</v>
      </c>
      <c r="O208" s="636" t="s">
        <v>2986</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3855</v>
      </c>
      <c r="K209" s="635"/>
      <c r="L209" s="626"/>
      <c r="M209" s="627"/>
      <c r="N209" s="636" t="s">
        <v>222</v>
      </c>
      <c r="O209" s="636" t="s">
        <v>221</v>
      </c>
      <c r="P209" s="903"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3885</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3133</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3755</v>
      </c>
      <c r="D212" s="507" t="s">
        <v>1871</v>
      </c>
      <c r="E212" s="630" t="s">
        <v>3756</v>
      </c>
      <c r="F212" s="630"/>
      <c r="G212" s="631" t="s">
        <v>956</v>
      </c>
      <c r="H212" s="632" t="s">
        <v>536</v>
      </c>
      <c r="I212" s="633"/>
      <c r="J212" s="634" t="s">
        <v>1356</v>
      </c>
      <c r="K212" s="639"/>
      <c r="L212" s="626"/>
      <c r="M212" s="627"/>
      <c r="N212" s="636" t="s">
        <v>3165</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3757</v>
      </c>
      <c r="D213" s="507" t="s">
        <v>2035</v>
      </c>
      <c r="E213" s="637" t="s">
        <v>1338</v>
      </c>
      <c r="F213" s="637"/>
      <c r="G213" s="631" t="s">
        <v>3885</v>
      </c>
      <c r="H213" s="632" t="s">
        <v>537</v>
      </c>
      <c r="I213" s="638"/>
      <c r="J213" s="634" t="s">
        <v>1358</v>
      </c>
      <c r="K213" s="639"/>
      <c r="L213" s="626"/>
      <c r="M213" s="627"/>
      <c r="N213" s="636" t="s">
        <v>2030</v>
      </c>
      <c r="O213" s="636" t="s">
        <v>1739</v>
      </c>
      <c r="P213" s="903" t="s">
        <v>1411</v>
      </c>
      <c r="Q213" s="611"/>
      <c r="S213" s="611"/>
      <c r="T213" s="611"/>
      <c r="U213" s="611"/>
      <c r="V213" s="611"/>
      <c r="W213" s="611"/>
      <c r="X213" s="611"/>
      <c r="Y213" s="611"/>
      <c r="Z213" s="611"/>
      <c r="AA213" s="611"/>
    </row>
    <row r="214" spans="1:27" ht="12" customHeight="1">
      <c r="A214" s="611"/>
      <c r="B214" s="507" t="s">
        <v>2048</v>
      </c>
      <c r="C214" s="507" t="s">
        <v>3758</v>
      </c>
      <c r="D214" s="507" t="s">
        <v>1871</v>
      </c>
      <c r="E214" s="630" t="s">
        <v>3759</v>
      </c>
      <c r="F214" s="630"/>
      <c r="G214" s="631" t="s">
        <v>957</v>
      </c>
      <c r="H214" s="632" t="s">
        <v>536</v>
      </c>
      <c r="I214" s="633"/>
      <c r="J214" s="634" t="s">
        <v>3166</v>
      </c>
      <c r="K214" s="639"/>
      <c r="L214" s="626"/>
      <c r="M214" s="627"/>
      <c r="N214" s="636" t="s">
        <v>3168</v>
      </c>
      <c r="O214" s="636" t="s">
        <v>3760</v>
      </c>
      <c r="P214" s="507" t="s">
        <v>2406</v>
      </c>
      <c r="Q214" s="631"/>
      <c r="S214" s="611"/>
      <c r="T214" s="611"/>
      <c r="U214" s="611"/>
      <c r="V214" s="611"/>
      <c r="W214" s="611"/>
      <c r="X214" s="611"/>
      <c r="Y214" s="611"/>
      <c r="Z214" s="611"/>
      <c r="AA214" s="611"/>
    </row>
    <row r="215" spans="1:27" ht="12" customHeight="1">
      <c r="A215" s="611"/>
      <c r="B215" s="507" t="s">
        <v>2049</v>
      </c>
      <c r="C215" s="507" t="s">
        <v>3760</v>
      </c>
      <c r="D215" s="507" t="s">
        <v>2011</v>
      </c>
      <c r="E215" s="637" t="s">
        <v>1338</v>
      </c>
      <c r="F215" s="637"/>
      <c r="G215" s="631" t="s">
        <v>3885</v>
      </c>
      <c r="H215" s="632" t="s">
        <v>537</v>
      </c>
      <c r="I215" s="638"/>
      <c r="J215" s="634" t="s">
        <v>3167</v>
      </c>
      <c r="K215" s="639"/>
      <c r="L215" s="626"/>
      <c r="M215" s="627"/>
      <c r="N215" s="636" t="s">
        <v>3075</v>
      </c>
      <c r="O215" s="636" t="s">
        <v>3279</v>
      </c>
      <c r="P215" s="507" t="s">
        <v>2407</v>
      </c>
      <c r="Q215" s="631"/>
      <c r="S215" s="611"/>
      <c r="T215" s="611"/>
      <c r="U215" s="611"/>
      <c r="V215" s="611"/>
      <c r="W215" s="611"/>
      <c r="X215" s="611"/>
      <c r="Y215" s="611"/>
      <c r="Z215" s="611"/>
      <c r="AA215" s="611"/>
    </row>
    <row r="216" spans="1:27" ht="12" customHeight="1">
      <c r="A216" s="611"/>
      <c r="B216" s="507" t="s">
        <v>2050</v>
      </c>
      <c r="C216" s="507" t="s">
        <v>3761</v>
      </c>
      <c r="D216" s="507" t="s">
        <v>1871</v>
      </c>
      <c r="E216" s="630" t="s">
        <v>3762</v>
      </c>
      <c r="F216" s="630"/>
      <c r="G216" s="631" t="s">
        <v>958</v>
      </c>
      <c r="H216" s="632" t="s">
        <v>536</v>
      </c>
      <c r="I216" s="633"/>
      <c r="J216" s="634" t="s">
        <v>3169</v>
      </c>
      <c r="K216" s="639"/>
      <c r="L216" s="626"/>
      <c r="M216" s="627"/>
      <c r="N216" s="636" t="s">
        <v>3170</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3763</v>
      </c>
      <c r="D217" s="507" t="s">
        <v>1871</v>
      </c>
      <c r="E217" s="630" t="s">
        <v>3814</v>
      </c>
      <c r="F217" s="630"/>
      <c r="G217" s="631" t="s">
        <v>959</v>
      </c>
      <c r="H217" s="632" t="s">
        <v>536</v>
      </c>
      <c r="I217" s="633"/>
      <c r="J217" s="634" t="s">
        <v>3201</v>
      </c>
      <c r="K217" s="639"/>
      <c r="L217" s="626"/>
      <c r="M217" s="627"/>
      <c r="N217" s="636" t="s">
        <v>3202</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3815</v>
      </c>
      <c r="D218" s="507" t="s">
        <v>2035</v>
      </c>
      <c r="E218" s="637" t="s">
        <v>1339</v>
      </c>
      <c r="F218" s="637"/>
      <c r="G218" s="631" t="s">
        <v>3910</v>
      </c>
      <c r="H218" s="632" t="s">
        <v>537</v>
      </c>
      <c r="I218" s="638"/>
      <c r="J218" s="634" t="s">
        <v>3203</v>
      </c>
      <c r="K218" s="639"/>
      <c r="L218" s="626"/>
      <c r="M218" s="627"/>
      <c r="N218" s="636" t="s">
        <v>3204</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3816</v>
      </c>
      <c r="D219" s="507" t="s">
        <v>1871</v>
      </c>
      <c r="E219" s="630" t="s">
        <v>3817</v>
      </c>
      <c r="F219" s="630"/>
      <c r="G219" s="631" t="s">
        <v>960</v>
      </c>
      <c r="H219" s="632" t="s">
        <v>536</v>
      </c>
      <c r="I219" s="633"/>
      <c r="J219" s="634" t="s">
        <v>3205</v>
      </c>
      <c r="K219" s="639"/>
      <c r="L219" s="626"/>
      <c r="M219" s="627"/>
      <c r="N219" s="636" t="s">
        <v>3206</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3818</v>
      </c>
      <c r="D220" s="507" t="s">
        <v>2035</v>
      </c>
      <c r="E220" s="637" t="s">
        <v>1338</v>
      </c>
      <c r="F220" s="637"/>
      <c r="G220" s="631" t="s">
        <v>3885</v>
      </c>
      <c r="H220" s="632" t="s">
        <v>537</v>
      </c>
      <c r="I220" s="638"/>
      <c r="J220" s="634" t="s">
        <v>3207</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3819</v>
      </c>
      <c r="D221" s="507" t="s">
        <v>2035</v>
      </c>
      <c r="E221" s="637" t="s">
        <v>2020</v>
      </c>
      <c r="F221" s="637"/>
      <c r="G221" s="631" t="s">
        <v>3888</v>
      </c>
      <c r="H221" s="632" t="s">
        <v>537</v>
      </c>
      <c r="I221" s="638"/>
      <c r="J221" s="634" t="s">
        <v>3836</v>
      </c>
      <c r="K221" s="639"/>
      <c r="L221" s="626"/>
      <c r="M221" s="627"/>
      <c r="N221" s="636" t="s">
        <v>3837</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3820</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3080</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3885</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3361</v>
      </c>
      <c r="K225" s="639"/>
      <c r="L225" s="626"/>
      <c r="M225" s="627"/>
      <c r="N225" s="636" t="s">
        <v>3362</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3885</v>
      </c>
      <c r="H226" s="632" t="s">
        <v>537</v>
      </c>
      <c r="I226" s="638"/>
      <c r="J226" s="634" t="s">
        <v>3363</v>
      </c>
      <c r="K226" s="639"/>
      <c r="L226" s="626"/>
      <c r="M226" s="627"/>
      <c r="N226" s="636" t="s">
        <v>3364</v>
      </c>
      <c r="O226" s="636" t="s">
        <v>3371</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3033</v>
      </c>
      <c r="H227" s="632" t="s">
        <v>536</v>
      </c>
      <c r="I227" s="633"/>
      <c r="J227" s="634" t="s">
        <v>3365</v>
      </c>
      <c r="K227" s="639"/>
      <c r="L227" s="626"/>
      <c r="M227" s="627"/>
      <c r="N227" s="507" t="s">
        <v>3864</v>
      </c>
      <c r="O227" s="507" t="s">
        <v>963</v>
      </c>
      <c r="P227" s="904" t="s">
        <v>3240</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3034</v>
      </c>
      <c r="H228" s="632" t="s">
        <v>536</v>
      </c>
      <c r="I228" s="633"/>
      <c r="J228" s="634" t="s">
        <v>3399</v>
      </c>
      <c r="K228" s="639"/>
      <c r="L228" s="626"/>
      <c r="M228" s="627"/>
      <c r="N228" s="636" t="s">
        <v>3366</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3763</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3885</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3035</v>
      </c>
      <c r="H231" s="632" t="s">
        <v>536</v>
      </c>
      <c r="I231" s="633"/>
      <c r="J231" s="634" t="s">
        <v>3261</v>
      </c>
      <c r="K231" s="639"/>
      <c r="L231" s="626"/>
      <c r="M231" s="627"/>
      <c r="N231" s="636" t="s">
        <v>2804</v>
      </c>
      <c r="O231" s="636" t="s">
        <v>3086</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3891</v>
      </c>
      <c r="H232" s="632" t="s">
        <v>537</v>
      </c>
      <c r="I232" s="633"/>
      <c r="J232" s="634" t="s">
        <v>3262</v>
      </c>
      <c r="K232" s="639"/>
      <c r="L232" s="626"/>
      <c r="M232" s="627"/>
      <c r="N232" s="636" t="s">
        <v>1412</v>
      </c>
      <c r="O232" s="636" t="s">
        <v>3899</v>
      </c>
      <c r="P232" s="903"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3689</v>
      </c>
      <c r="K233" s="635"/>
      <c r="L233" s="626"/>
      <c r="M233" s="627"/>
      <c r="N233" s="636" t="s">
        <v>3263</v>
      </c>
      <c r="O233" s="636" t="s">
        <v>3901</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3691</v>
      </c>
      <c r="K234" s="635"/>
      <c r="L234" s="626"/>
      <c r="M234" s="627"/>
      <c r="N234" s="636" t="s">
        <v>3690</v>
      </c>
      <c r="O234" s="636" t="s">
        <v>1724</v>
      </c>
      <c r="P234" s="507" t="s">
        <v>2424</v>
      </c>
      <c r="Q234" s="631"/>
      <c r="S234" s="611"/>
      <c r="T234" s="611"/>
      <c r="U234" s="611"/>
      <c r="V234" s="611"/>
      <c r="W234" s="611"/>
      <c r="X234" s="611"/>
      <c r="Y234" s="611"/>
      <c r="Z234" s="611"/>
      <c r="AA234" s="611"/>
    </row>
    <row r="235" spans="1:27" ht="12" customHeight="1">
      <c r="A235" s="611"/>
      <c r="B235" s="640"/>
      <c r="C235" s="507" t="s">
        <v>3369</v>
      </c>
      <c r="D235" s="507" t="s">
        <v>1871</v>
      </c>
      <c r="E235" s="630" t="s">
        <v>3370</v>
      </c>
      <c r="F235" s="630"/>
      <c r="G235" s="631" t="s">
        <v>2037</v>
      </c>
      <c r="H235" s="632" t="s">
        <v>536</v>
      </c>
      <c r="I235" s="633"/>
      <c r="J235" s="634" t="s">
        <v>3693</v>
      </c>
      <c r="K235" s="635"/>
      <c r="L235" s="626"/>
      <c r="M235" s="627"/>
      <c r="N235" s="507" t="s">
        <v>3865</v>
      </c>
      <c r="O235" s="507" t="s">
        <v>414</v>
      </c>
      <c r="P235" s="904" t="s">
        <v>3240</v>
      </c>
      <c r="Q235" s="631"/>
      <c r="S235" s="611"/>
      <c r="T235" s="611"/>
      <c r="U235" s="611"/>
      <c r="V235" s="611"/>
      <c r="W235" s="611"/>
      <c r="X235" s="611"/>
      <c r="Y235" s="611"/>
      <c r="Z235" s="611"/>
      <c r="AA235" s="611"/>
    </row>
    <row r="236" spans="1:27" ht="12" customHeight="1">
      <c r="A236" s="611"/>
      <c r="B236" s="640"/>
      <c r="C236" s="507" t="s">
        <v>3371</v>
      </c>
      <c r="D236" s="507" t="s">
        <v>1871</v>
      </c>
      <c r="E236" s="630" t="s">
        <v>997</v>
      </c>
      <c r="F236" s="630"/>
      <c r="G236" s="631" t="s">
        <v>2038</v>
      </c>
      <c r="H236" s="632" t="s">
        <v>536</v>
      </c>
      <c r="I236" s="633"/>
      <c r="J236" s="634" t="s">
        <v>3695</v>
      </c>
      <c r="K236" s="635"/>
      <c r="L236" s="626"/>
      <c r="M236" s="627"/>
      <c r="N236" s="636" t="s">
        <v>3692</v>
      </c>
      <c r="O236" s="636" t="s">
        <v>2989</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3696</v>
      </c>
      <c r="K237" s="635"/>
      <c r="L237" s="626"/>
      <c r="M237" s="627"/>
      <c r="N237" s="636" t="s">
        <v>3694</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3885</v>
      </c>
      <c r="H238" s="632" t="s">
        <v>537</v>
      </c>
      <c r="I238" s="638"/>
      <c r="J238" s="634" t="s">
        <v>3353</v>
      </c>
      <c r="K238" s="635"/>
      <c r="L238" s="626"/>
      <c r="M238" s="627"/>
      <c r="N238" s="636" t="s">
        <v>3697</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3398</v>
      </c>
      <c r="F239" s="637"/>
      <c r="G239" s="631" t="s">
        <v>2040</v>
      </c>
      <c r="H239" s="632" t="s">
        <v>537</v>
      </c>
      <c r="I239" s="638"/>
      <c r="J239" s="634" t="s">
        <v>1064</v>
      </c>
      <c r="K239" s="635"/>
      <c r="L239" s="626"/>
      <c r="M239" s="627"/>
      <c r="N239" s="636" t="s">
        <v>3354</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3885</v>
      </c>
      <c r="H240" s="632" t="s">
        <v>537</v>
      </c>
      <c r="I240" s="638"/>
      <c r="J240" s="634" t="s">
        <v>1066</v>
      </c>
      <c r="K240" s="635"/>
      <c r="L240" s="626"/>
      <c r="M240" s="627"/>
      <c r="N240" s="636" t="s">
        <v>1065</v>
      </c>
      <c r="O240" s="636" t="s">
        <v>3755</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3885</v>
      </c>
      <c r="H242" s="632" t="s">
        <v>537</v>
      </c>
      <c r="I242" s="638"/>
      <c r="J242" s="634" t="s">
        <v>1070</v>
      </c>
      <c r="K242" s="635"/>
      <c r="L242" s="626"/>
      <c r="M242" s="627"/>
      <c r="N242" s="636" t="s">
        <v>1069</v>
      </c>
      <c r="O242" s="636" t="s">
        <v>3901</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3344</v>
      </c>
      <c r="K243" s="635"/>
      <c r="L243" s="626"/>
      <c r="M243" s="627"/>
      <c r="N243" s="507" t="s">
        <v>3866</v>
      </c>
      <c r="O243" s="507" t="s">
        <v>3757</v>
      </c>
      <c r="P243" s="904" t="s">
        <v>3240</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3345</v>
      </c>
      <c r="K244" s="635"/>
      <c r="L244" s="626"/>
      <c r="M244" s="627"/>
      <c r="N244" s="636" t="s">
        <v>3346</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3890</v>
      </c>
      <c r="H245" s="632" t="s">
        <v>537</v>
      </c>
      <c r="I245" s="633"/>
      <c r="J245" s="634" t="s">
        <v>3347</v>
      </c>
      <c r="K245" s="635"/>
      <c r="L245" s="626"/>
      <c r="M245" s="627"/>
      <c r="N245" s="636" t="s">
        <v>3348</v>
      </c>
      <c r="O245" s="636" t="s">
        <v>3895</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3400</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3401</v>
      </c>
      <c r="K248" s="635"/>
      <c r="L248" s="626"/>
      <c r="M248" s="627"/>
      <c r="N248" s="636" t="s">
        <v>3476</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3885</v>
      </c>
      <c r="H249" s="632" t="s">
        <v>537</v>
      </c>
      <c r="I249" s="638"/>
      <c r="J249" s="634" t="s">
        <v>3439</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3903</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3578</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3577</v>
      </c>
      <c r="K253" s="635"/>
      <c r="L253" s="626"/>
      <c r="M253" s="627"/>
      <c r="N253" s="636" t="s">
        <v>3626</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3625</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3627</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3885</v>
      </c>
      <c r="H256" s="632" t="s">
        <v>537</v>
      </c>
      <c r="I256" s="638"/>
      <c r="J256" s="634" t="s">
        <v>3628</v>
      </c>
      <c r="K256" s="635"/>
      <c r="L256" s="626"/>
      <c r="M256" s="627"/>
      <c r="N256" s="636" t="s">
        <v>3566</v>
      </c>
      <c r="O256" s="636" t="s">
        <v>3761</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3885</v>
      </c>
      <c r="H257" s="632" t="s">
        <v>537</v>
      </c>
      <c r="I257" s="638"/>
      <c r="J257" s="634" t="s">
        <v>3565</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3895</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3885</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3291</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3888</v>
      </c>
      <c r="H266" s="632" t="s">
        <v>537</v>
      </c>
      <c r="I266" s="638"/>
      <c r="J266" s="634" t="s">
        <v>3427</v>
      </c>
      <c r="K266" s="635"/>
      <c r="L266" s="626"/>
      <c r="M266" s="627"/>
      <c r="N266" s="636" t="s">
        <v>3428</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3429</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3891</v>
      </c>
      <c r="H268" s="632" t="s">
        <v>537</v>
      </c>
      <c r="I268" s="633"/>
      <c r="J268" s="634" t="s">
        <v>3430</v>
      </c>
      <c r="K268" s="635"/>
      <c r="L268" s="626"/>
      <c r="M268" s="627"/>
      <c r="N268" s="636" t="s">
        <v>3432</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3431</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3809</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3891</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3133</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3816</v>
      </c>
      <c r="P278" s="507" t="s">
        <v>2466</v>
      </c>
      <c r="Q278" s="631"/>
      <c r="S278" s="611"/>
      <c r="T278" s="611"/>
      <c r="U278" s="611"/>
      <c r="V278" s="611"/>
      <c r="W278" s="611"/>
      <c r="X278" s="611"/>
      <c r="Y278" s="611"/>
      <c r="Z278" s="611"/>
      <c r="AA278" s="611"/>
    </row>
    <row r="279" spans="1:27" ht="12" customHeight="1">
      <c r="A279" s="611"/>
      <c r="B279" s="640"/>
      <c r="C279" s="507" t="s">
        <v>2936</v>
      </c>
      <c r="D279" s="507" t="s">
        <v>2035</v>
      </c>
      <c r="E279" s="637" t="s">
        <v>1339</v>
      </c>
      <c r="F279" s="637"/>
      <c r="G279" s="631" t="s">
        <v>3910</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2937</v>
      </c>
      <c r="D280" s="507" t="s">
        <v>1871</v>
      </c>
      <c r="E280" s="630" t="s">
        <v>13</v>
      </c>
      <c r="F280" s="630"/>
      <c r="G280" s="631" t="s">
        <v>3890</v>
      </c>
      <c r="H280" s="632" t="s">
        <v>537</v>
      </c>
      <c r="I280" s="633"/>
      <c r="J280" s="634" t="s">
        <v>302</v>
      </c>
      <c r="K280" s="635"/>
      <c r="L280" s="626"/>
      <c r="M280" s="627"/>
      <c r="N280" s="636" t="s">
        <v>3154</v>
      </c>
      <c r="O280" s="636" t="s">
        <v>415</v>
      </c>
      <c r="P280" s="507" t="s">
        <v>2468</v>
      </c>
      <c r="Q280" s="631"/>
      <c r="S280" s="611"/>
      <c r="T280" s="611"/>
      <c r="U280" s="611"/>
      <c r="V280" s="611"/>
      <c r="W280" s="611"/>
      <c r="X280" s="611"/>
      <c r="Y280" s="611"/>
      <c r="Z280" s="611"/>
      <c r="AA280" s="611"/>
    </row>
    <row r="281" spans="1:27" ht="12" customHeight="1">
      <c r="A281" s="611"/>
      <c r="B281" s="640"/>
      <c r="C281" s="507" t="s">
        <v>2938</v>
      </c>
      <c r="D281" s="507" t="s">
        <v>2035</v>
      </c>
      <c r="E281" s="637" t="s">
        <v>1343</v>
      </c>
      <c r="F281" s="637"/>
      <c r="G281" s="631" t="s">
        <v>1050</v>
      </c>
      <c r="H281" s="632" t="s">
        <v>537</v>
      </c>
      <c r="I281" s="638"/>
      <c r="J281" s="634" t="s">
        <v>304</v>
      </c>
      <c r="K281" s="635"/>
      <c r="L281" s="626"/>
      <c r="M281" s="627"/>
      <c r="N281" s="636" t="s">
        <v>3156</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3158</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3153</v>
      </c>
      <c r="K283" s="635"/>
      <c r="L283" s="626"/>
      <c r="M283" s="627"/>
      <c r="N283" s="636" t="s">
        <v>3160</v>
      </c>
      <c r="O283" s="636" t="s">
        <v>3897</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3132</v>
      </c>
      <c r="F284" s="637"/>
      <c r="G284" s="631" t="s">
        <v>1053</v>
      </c>
      <c r="H284" s="632" t="s">
        <v>537</v>
      </c>
      <c r="I284" s="638"/>
      <c r="J284" s="634" t="s">
        <v>3155</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3157</v>
      </c>
      <c r="K285" s="635"/>
      <c r="L285" s="626"/>
      <c r="M285" s="627"/>
      <c r="N285" s="507" t="s">
        <v>3868</v>
      </c>
      <c r="O285" s="507" t="s">
        <v>3085</v>
      </c>
      <c r="P285" s="904" t="s">
        <v>3240</v>
      </c>
      <c r="Q285" s="631"/>
      <c r="S285" s="611"/>
      <c r="T285" s="611"/>
      <c r="U285" s="611"/>
      <c r="V285" s="611"/>
      <c r="W285" s="611"/>
      <c r="X285" s="611"/>
      <c r="Y285" s="611"/>
      <c r="Z285" s="611"/>
      <c r="AA285" s="611"/>
    </row>
    <row r="286" spans="1:27" ht="12" customHeight="1">
      <c r="A286" s="611"/>
      <c r="B286" s="640"/>
      <c r="C286" s="507" t="s">
        <v>3895</v>
      </c>
      <c r="D286" s="507" t="s">
        <v>2035</v>
      </c>
      <c r="E286" s="637" t="s">
        <v>3896</v>
      </c>
      <c r="F286" s="637"/>
      <c r="G286" s="631" t="s">
        <v>1055</v>
      </c>
      <c r="H286" s="632" t="s">
        <v>536</v>
      </c>
      <c r="I286" s="638"/>
      <c r="J286" s="634" t="s">
        <v>3159</v>
      </c>
      <c r="K286" s="635"/>
      <c r="L286" s="626"/>
      <c r="M286" s="627"/>
      <c r="N286" s="636" t="s">
        <v>3162</v>
      </c>
      <c r="O286" s="636" t="s">
        <v>257</v>
      </c>
      <c r="P286" s="507" t="s">
        <v>2473</v>
      </c>
      <c r="Q286" s="631"/>
      <c r="S286" s="611"/>
      <c r="T286" s="611"/>
      <c r="U286" s="611"/>
      <c r="V286" s="611"/>
      <c r="W286" s="611"/>
      <c r="X286" s="611"/>
      <c r="Y286" s="611"/>
      <c r="Z286" s="611"/>
      <c r="AA286" s="611"/>
    </row>
    <row r="287" spans="1:27" ht="12" customHeight="1">
      <c r="A287" s="611"/>
      <c r="B287" s="640"/>
      <c r="C287" s="507" t="s">
        <v>3897</v>
      </c>
      <c r="D287" s="507" t="s">
        <v>2011</v>
      </c>
      <c r="E287" s="630" t="s">
        <v>3898</v>
      </c>
      <c r="F287" s="630"/>
      <c r="G287" s="631" t="s">
        <v>3026</v>
      </c>
      <c r="H287" s="632" t="s">
        <v>537</v>
      </c>
      <c r="I287" s="633"/>
      <c r="J287" s="634" t="s">
        <v>3161</v>
      </c>
      <c r="K287" s="635"/>
      <c r="L287" s="626"/>
      <c r="M287" s="627"/>
      <c r="N287" s="636" t="s">
        <v>3164</v>
      </c>
      <c r="O287" s="636" t="s">
        <v>257</v>
      </c>
      <c r="P287" s="507" t="s">
        <v>2474</v>
      </c>
      <c r="Q287" s="631"/>
      <c r="S287" s="611"/>
      <c r="T287" s="611"/>
      <c r="U287" s="611"/>
      <c r="V287" s="611"/>
      <c r="W287" s="611"/>
      <c r="X287" s="611"/>
      <c r="Y287" s="611"/>
      <c r="Z287" s="611"/>
      <c r="AA287" s="611"/>
    </row>
    <row r="288" spans="1:27" ht="12" customHeight="1">
      <c r="A288" s="611"/>
      <c r="B288" s="640"/>
      <c r="C288" s="507" t="s">
        <v>3899</v>
      </c>
      <c r="D288" s="507" t="s">
        <v>2035</v>
      </c>
      <c r="E288" s="637" t="s">
        <v>217</v>
      </c>
      <c r="F288" s="637"/>
      <c r="G288" s="631" t="s">
        <v>2698</v>
      </c>
      <c r="H288" s="632" t="s">
        <v>537</v>
      </c>
      <c r="I288" s="638"/>
      <c r="J288" s="634" t="s">
        <v>3163</v>
      </c>
      <c r="K288" s="635"/>
      <c r="L288" s="626"/>
      <c r="M288" s="627"/>
      <c r="N288" s="636" t="s">
        <v>1020</v>
      </c>
      <c r="O288" s="636" t="s">
        <v>3085</v>
      </c>
      <c r="P288" s="507" t="s">
        <v>2475</v>
      </c>
      <c r="Q288" s="631"/>
      <c r="S288" s="611"/>
      <c r="T288" s="611"/>
      <c r="U288" s="611"/>
      <c r="V288" s="611"/>
      <c r="W288" s="611"/>
      <c r="X288" s="611"/>
      <c r="Y288" s="611"/>
      <c r="Z288" s="611"/>
      <c r="AA288" s="611"/>
    </row>
    <row r="289" spans="1:27" ht="12" customHeight="1">
      <c r="A289" s="611"/>
      <c r="B289" s="640"/>
      <c r="C289" s="507" t="s">
        <v>3900</v>
      </c>
      <c r="D289" s="507" t="s">
        <v>2035</v>
      </c>
      <c r="E289" s="637" t="s">
        <v>1338</v>
      </c>
      <c r="F289" s="637"/>
      <c r="G289" s="631" t="s">
        <v>3885</v>
      </c>
      <c r="H289" s="632" t="s">
        <v>537</v>
      </c>
      <c r="I289" s="638"/>
      <c r="J289" s="634" t="s">
        <v>1019</v>
      </c>
      <c r="K289" s="635"/>
      <c r="L289" s="626"/>
      <c r="M289" s="627"/>
      <c r="N289" s="636" t="s">
        <v>3475</v>
      </c>
      <c r="O289" s="636" t="s">
        <v>137</v>
      </c>
      <c r="P289" s="507" t="s">
        <v>2476</v>
      </c>
      <c r="Q289" s="631"/>
      <c r="S289" s="611"/>
      <c r="T289" s="611"/>
      <c r="U289" s="611"/>
      <c r="V289" s="611"/>
      <c r="W289" s="611"/>
      <c r="X289" s="611"/>
      <c r="Y289" s="611"/>
      <c r="Z289" s="611"/>
      <c r="AA289" s="611"/>
    </row>
    <row r="290" spans="1:27" ht="12" customHeight="1">
      <c r="A290" s="611"/>
      <c r="B290" s="640"/>
      <c r="C290" s="507" t="s">
        <v>3901</v>
      </c>
      <c r="D290" s="507" t="s">
        <v>2035</v>
      </c>
      <c r="E290" s="630" t="s">
        <v>3133</v>
      </c>
      <c r="F290" s="630"/>
      <c r="G290" s="631" t="s">
        <v>955</v>
      </c>
      <c r="H290" s="632" t="s">
        <v>537</v>
      </c>
      <c r="I290" s="633"/>
      <c r="J290" s="634" t="s">
        <v>3473</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3902</v>
      </c>
      <c r="D291" s="507" t="s">
        <v>2035</v>
      </c>
      <c r="E291" s="630" t="s">
        <v>3133</v>
      </c>
      <c r="F291" s="630"/>
      <c r="G291" s="631" t="s">
        <v>955</v>
      </c>
      <c r="H291" s="632" t="s">
        <v>537</v>
      </c>
      <c r="I291" s="633"/>
      <c r="J291" s="634" t="s">
        <v>3474</v>
      </c>
      <c r="K291" s="635"/>
      <c r="L291" s="626"/>
      <c r="M291" s="627"/>
      <c r="N291" s="636" t="s">
        <v>1926</v>
      </c>
      <c r="O291" s="636" t="s">
        <v>3371</v>
      </c>
      <c r="P291" s="507" t="s">
        <v>2478</v>
      </c>
      <c r="Q291" s="631"/>
      <c r="S291" s="611"/>
      <c r="T291" s="611"/>
      <c r="U291" s="611"/>
      <c r="V291" s="611"/>
      <c r="W291" s="611"/>
      <c r="X291" s="611"/>
      <c r="Y291" s="611"/>
      <c r="Z291" s="611"/>
      <c r="AA291" s="611"/>
    </row>
    <row r="292" spans="1:27" ht="12" customHeight="1">
      <c r="A292" s="611"/>
      <c r="B292" s="640"/>
      <c r="C292" s="507" t="s">
        <v>3903</v>
      </c>
      <c r="D292" s="507" t="s">
        <v>2011</v>
      </c>
      <c r="E292" s="637" t="s">
        <v>1338</v>
      </c>
      <c r="F292" s="637"/>
      <c r="G292" s="631" t="s">
        <v>3885</v>
      </c>
      <c r="H292" s="632" t="s">
        <v>537</v>
      </c>
      <c r="I292" s="638"/>
      <c r="J292" s="634" t="s">
        <v>1923</v>
      </c>
      <c r="K292" s="635"/>
      <c r="L292" s="626"/>
      <c r="M292" s="627"/>
      <c r="N292" s="636" t="s">
        <v>3757</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3027</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3885</v>
      </c>
      <c r="H294" s="632" t="s">
        <v>537</v>
      </c>
      <c r="I294" s="638"/>
      <c r="J294" s="634" t="s">
        <v>1927</v>
      </c>
      <c r="K294" s="635"/>
      <c r="L294" s="626"/>
      <c r="M294" s="627"/>
      <c r="N294" s="636" t="s">
        <v>3771</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3028</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3885</v>
      </c>
      <c r="H296" s="632" t="s">
        <v>537</v>
      </c>
      <c r="I296" s="638"/>
      <c r="J296" s="634" t="s">
        <v>1930</v>
      </c>
      <c r="K296" s="635"/>
      <c r="L296" s="626"/>
      <c r="M296" s="627"/>
      <c r="N296" s="636" t="s">
        <v>95</v>
      </c>
      <c r="O296" s="636" t="s">
        <v>3289</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3029</v>
      </c>
      <c r="H297" s="632" t="s">
        <v>536</v>
      </c>
      <c r="I297" s="633"/>
      <c r="J297" s="634" t="s">
        <v>3772</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3030</v>
      </c>
      <c r="H298" s="632" t="s">
        <v>536</v>
      </c>
      <c r="I298" s="638"/>
      <c r="J298" s="634" t="s">
        <v>92</v>
      </c>
      <c r="K298" s="635"/>
      <c r="L298" s="626"/>
      <c r="M298" s="627"/>
      <c r="N298" s="636" t="s">
        <v>1888</v>
      </c>
      <c r="O298" s="636" t="s">
        <v>3024</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3031</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2813</v>
      </c>
      <c r="H300" s="632" t="s">
        <v>536</v>
      </c>
      <c r="I300" s="633"/>
      <c r="J300" s="634" t="s">
        <v>94</v>
      </c>
      <c r="K300" s="635"/>
      <c r="L300" s="626"/>
      <c r="M300" s="627"/>
      <c r="N300" s="636" t="s">
        <v>1892</v>
      </c>
      <c r="O300" s="636" t="s">
        <v>1737</v>
      </c>
      <c r="P300" s="903"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2814</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2815</v>
      </c>
      <c r="H302" s="632" t="s">
        <v>536</v>
      </c>
      <c r="I302" s="633"/>
      <c r="J302" s="634" t="s">
        <v>1887</v>
      </c>
      <c r="K302" s="635"/>
      <c r="L302" s="626"/>
      <c r="M302" s="627"/>
      <c r="N302" s="636" t="s">
        <v>1896</v>
      </c>
      <c r="O302" s="636" t="s">
        <v>3289</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3910</v>
      </c>
      <c r="H303" s="632" t="s">
        <v>537</v>
      </c>
      <c r="I303" s="638"/>
      <c r="J303" s="634" t="s">
        <v>1889</v>
      </c>
      <c r="K303" s="635"/>
      <c r="L303" s="626"/>
      <c r="M303" s="627"/>
      <c r="N303" s="636" t="s">
        <v>3763</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3885</v>
      </c>
      <c r="H304" s="632" t="s">
        <v>537</v>
      </c>
      <c r="I304" s="638"/>
      <c r="J304" s="634" t="s">
        <v>1891</v>
      </c>
      <c r="K304" s="635"/>
      <c r="L304" s="626"/>
      <c r="M304" s="627"/>
      <c r="N304" s="636" t="s">
        <v>217</v>
      </c>
      <c r="O304" s="636" t="s">
        <v>3899</v>
      </c>
      <c r="P304" s="903"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3273</v>
      </c>
      <c r="F305" s="630"/>
      <c r="G305" s="631" t="s">
        <v>2816</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3274</v>
      </c>
      <c r="D306" s="507" t="s">
        <v>1871</v>
      </c>
      <c r="E306" s="630" t="s">
        <v>3275</v>
      </c>
      <c r="F306" s="630"/>
      <c r="G306" s="631" t="s">
        <v>2817</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3276</v>
      </c>
      <c r="D308" s="507" t="s">
        <v>1871</v>
      </c>
      <c r="E308" s="637" t="s">
        <v>3277</v>
      </c>
      <c r="F308" s="637"/>
      <c r="G308" s="631" t="s">
        <v>670</v>
      </c>
      <c r="H308" s="632" t="s">
        <v>536</v>
      </c>
      <c r="I308" s="638"/>
      <c r="J308" s="634" t="s">
        <v>1483</v>
      </c>
      <c r="K308" s="635"/>
      <c r="L308" s="626"/>
      <c r="M308" s="627"/>
      <c r="N308" s="507" t="s">
        <v>3869</v>
      </c>
      <c r="O308" s="507" t="s">
        <v>3757</v>
      </c>
      <c r="P308" s="904" t="s">
        <v>3240</v>
      </c>
      <c r="Q308" s="611"/>
      <c r="S308" s="611"/>
      <c r="T308" s="611"/>
      <c r="U308" s="611"/>
      <c r="V308" s="611"/>
      <c r="W308" s="611"/>
      <c r="X308" s="611"/>
      <c r="Y308" s="611"/>
      <c r="Z308" s="611"/>
      <c r="AA308" s="611"/>
    </row>
    <row r="309" spans="1:27" ht="12" customHeight="1">
      <c r="A309" s="611"/>
      <c r="B309" s="640"/>
      <c r="C309" s="507" t="s">
        <v>3278</v>
      </c>
      <c r="D309" s="507" t="s">
        <v>2035</v>
      </c>
      <c r="E309" s="637" t="s">
        <v>1338</v>
      </c>
      <c r="F309" s="637"/>
      <c r="G309" s="631" t="s">
        <v>3885</v>
      </c>
      <c r="H309" s="632" t="s">
        <v>537</v>
      </c>
      <c r="I309" s="638"/>
      <c r="J309" s="634" t="s">
        <v>1484</v>
      </c>
      <c r="K309" s="635"/>
      <c r="L309" s="626"/>
      <c r="M309" s="627"/>
      <c r="N309" s="636" t="s">
        <v>3239</v>
      </c>
      <c r="O309" s="636" t="s">
        <v>1740</v>
      </c>
      <c r="P309" s="507" t="s">
        <v>2493</v>
      </c>
      <c r="Q309" s="631"/>
      <c r="S309" s="611"/>
      <c r="T309" s="611"/>
      <c r="U309" s="611"/>
      <c r="V309" s="611"/>
      <c r="W309" s="611"/>
      <c r="X309" s="611"/>
      <c r="Y309" s="611"/>
      <c r="Z309" s="611"/>
      <c r="AA309" s="611"/>
    </row>
    <row r="310" spans="1:27" ht="12" customHeight="1">
      <c r="A310" s="611"/>
      <c r="B310" s="640"/>
      <c r="C310" s="507" t="s">
        <v>3279</v>
      </c>
      <c r="D310" s="507" t="s">
        <v>2011</v>
      </c>
      <c r="E310" s="637" t="s">
        <v>3280</v>
      </c>
      <c r="F310" s="637"/>
      <c r="G310" s="631" t="s">
        <v>284</v>
      </c>
      <c r="H310" s="632" t="s">
        <v>536</v>
      </c>
      <c r="I310" s="633"/>
      <c r="J310" s="634" t="s">
        <v>1486</v>
      </c>
      <c r="K310" s="635"/>
      <c r="L310" s="626"/>
      <c r="M310" s="627"/>
      <c r="N310" s="636" t="s">
        <v>3150</v>
      </c>
      <c r="O310" s="636" t="s">
        <v>2661</v>
      </c>
      <c r="P310" s="507" t="s">
        <v>2494</v>
      </c>
      <c r="Q310" s="631"/>
      <c r="S310" s="611"/>
      <c r="T310" s="611"/>
      <c r="U310" s="611"/>
      <c r="V310" s="611"/>
      <c r="W310" s="611"/>
      <c r="X310" s="611"/>
      <c r="Y310" s="611"/>
      <c r="Z310" s="611"/>
      <c r="AA310" s="611"/>
    </row>
    <row r="311" spans="1:27" ht="12" customHeight="1">
      <c r="A311" s="611"/>
      <c r="B311" s="640"/>
      <c r="C311" s="507" t="s">
        <v>3281</v>
      </c>
      <c r="D311" s="507" t="s">
        <v>1871</v>
      </c>
      <c r="E311" s="630" t="s">
        <v>3282</v>
      </c>
      <c r="F311" s="630"/>
      <c r="G311" s="631" t="s">
        <v>2133</v>
      </c>
      <c r="H311" s="632" t="s">
        <v>536</v>
      </c>
      <c r="I311" s="633"/>
      <c r="J311" s="634" t="s">
        <v>1488</v>
      </c>
      <c r="K311" s="635"/>
      <c r="L311" s="626"/>
      <c r="M311" s="627"/>
      <c r="N311" s="636" t="s">
        <v>3152</v>
      </c>
      <c r="O311" s="636" t="s">
        <v>3820</v>
      </c>
      <c r="P311" s="507" t="s">
        <v>2495</v>
      </c>
      <c r="Q311" s="631"/>
      <c r="S311" s="611"/>
      <c r="T311" s="611"/>
      <c r="U311" s="611"/>
      <c r="V311" s="611"/>
      <c r="W311" s="611"/>
      <c r="X311" s="611"/>
      <c r="Y311" s="611"/>
      <c r="Z311" s="611"/>
      <c r="AA311" s="611"/>
    </row>
    <row r="312" spans="1:27" ht="12" customHeight="1">
      <c r="A312" s="611"/>
      <c r="B312" s="640"/>
      <c r="C312" s="507" t="s">
        <v>3283</v>
      </c>
      <c r="D312" s="507" t="s">
        <v>1871</v>
      </c>
      <c r="E312" s="630" t="s">
        <v>3284</v>
      </c>
      <c r="F312" s="630"/>
      <c r="G312" s="631" t="s">
        <v>2134</v>
      </c>
      <c r="H312" s="632" t="s">
        <v>536</v>
      </c>
      <c r="I312" s="633"/>
      <c r="J312" s="634" t="s">
        <v>3237</v>
      </c>
      <c r="K312" s="635"/>
      <c r="L312" s="626"/>
      <c r="M312" s="627"/>
      <c r="N312" s="636" t="s">
        <v>1413</v>
      </c>
      <c r="O312" s="636" t="s">
        <v>413</v>
      </c>
      <c r="P312" s="903" t="s">
        <v>1411</v>
      </c>
      <c r="Q312" s="611"/>
      <c r="S312" s="611"/>
      <c r="T312" s="611"/>
      <c r="U312" s="611"/>
      <c r="V312" s="611"/>
      <c r="W312" s="611"/>
      <c r="X312" s="611"/>
      <c r="Y312" s="611"/>
      <c r="Z312" s="611"/>
      <c r="AA312" s="611"/>
    </row>
    <row r="313" spans="1:27" ht="12" customHeight="1">
      <c r="A313" s="611"/>
      <c r="B313" s="640"/>
      <c r="C313" s="507" t="s">
        <v>3285</v>
      </c>
      <c r="D313" s="507" t="s">
        <v>2035</v>
      </c>
      <c r="E313" s="630" t="s">
        <v>3286</v>
      </c>
      <c r="F313" s="630"/>
      <c r="G313" s="631" t="s">
        <v>2135</v>
      </c>
      <c r="H313" s="632" t="s">
        <v>536</v>
      </c>
      <c r="I313" s="633"/>
      <c r="J313" s="634" t="s">
        <v>3238</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3287</v>
      </c>
      <c r="D314" s="507" t="s">
        <v>2035</v>
      </c>
      <c r="E314" s="630" t="s">
        <v>3288</v>
      </c>
      <c r="F314" s="630"/>
      <c r="G314" s="631" t="s">
        <v>3091</v>
      </c>
      <c r="H314" s="632" t="s">
        <v>536</v>
      </c>
      <c r="I314" s="633"/>
      <c r="J314" s="634" t="s">
        <v>3149</v>
      </c>
      <c r="K314" s="635"/>
      <c r="L314" s="626"/>
      <c r="M314" s="627"/>
      <c r="N314" s="507" t="s">
        <v>3870</v>
      </c>
      <c r="O314" s="507" t="s">
        <v>2027</v>
      </c>
      <c r="P314" s="904" t="s">
        <v>3240</v>
      </c>
      <c r="Q314" s="631"/>
      <c r="S314" s="611"/>
      <c r="T314" s="611"/>
      <c r="U314" s="611"/>
      <c r="V314" s="611"/>
      <c r="W314" s="611"/>
      <c r="X314" s="611"/>
      <c r="Y314" s="611"/>
      <c r="Z314" s="611"/>
      <c r="AA314" s="611"/>
    </row>
    <row r="315" spans="1:27" ht="12" customHeight="1">
      <c r="A315" s="611"/>
      <c r="B315" s="640"/>
      <c r="C315" s="507" t="s">
        <v>3289</v>
      </c>
      <c r="D315" s="507" t="s">
        <v>1871</v>
      </c>
      <c r="E315" s="630" t="s">
        <v>3290</v>
      </c>
      <c r="F315" s="630"/>
      <c r="G315" s="631" t="s">
        <v>3092</v>
      </c>
      <c r="H315" s="632" t="s">
        <v>536</v>
      </c>
      <c r="I315" s="633"/>
      <c r="J315" s="634" t="s">
        <v>3151</v>
      </c>
      <c r="K315" s="635"/>
      <c r="L315" s="626"/>
      <c r="M315" s="627"/>
      <c r="N315" s="636" t="s">
        <v>933</v>
      </c>
      <c r="O315" s="636" t="s">
        <v>3900</v>
      </c>
      <c r="P315" s="507" t="s">
        <v>2497</v>
      </c>
      <c r="Q315" s="611"/>
      <c r="S315" s="611"/>
      <c r="T315" s="611"/>
      <c r="U315" s="611"/>
      <c r="V315" s="611"/>
      <c r="W315" s="611"/>
      <c r="X315" s="611"/>
      <c r="Y315" s="611"/>
      <c r="Z315" s="611"/>
      <c r="AA315" s="611"/>
    </row>
    <row r="316" spans="1:27" ht="12" customHeight="1">
      <c r="A316" s="611"/>
      <c r="B316" s="640"/>
      <c r="C316" s="507" t="s">
        <v>3291</v>
      </c>
      <c r="D316" s="507" t="s">
        <v>2035</v>
      </c>
      <c r="E316" s="630" t="s">
        <v>1460</v>
      </c>
      <c r="F316" s="630"/>
      <c r="G316" s="631" t="s">
        <v>3093</v>
      </c>
      <c r="H316" s="632" t="s">
        <v>536</v>
      </c>
      <c r="I316" s="633"/>
      <c r="J316" s="634" t="s">
        <v>929</v>
      </c>
      <c r="K316" s="635"/>
      <c r="L316" s="626"/>
      <c r="M316" s="627"/>
      <c r="N316" s="636" t="s">
        <v>3819</v>
      </c>
      <c r="O316" s="636" t="s">
        <v>3902</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3094</v>
      </c>
      <c r="H317" s="632" t="s">
        <v>536</v>
      </c>
      <c r="I317" s="638"/>
      <c r="J317" s="634" t="s">
        <v>930</v>
      </c>
      <c r="K317" s="635"/>
      <c r="L317" s="626"/>
      <c r="M317" s="627"/>
      <c r="N317" s="636" t="s">
        <v>937</v>
      </c>
      <c r="O317" s="636" t="s">
        <v>3287</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3095</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2977</v>
      </c>
      <c r="F320" s="637"/>
      <c r="G320" s="631" t="s">
        <v>1809</v>
      </c>
      <c r="H320" s="632" t="s">
        <v>536</v>
      </c>
      <c r="I320" s="638"/>
      <c r="J320" s="634" t="s">
        <v>935</v>
      </c>
      <c r="K320" s="635"/>
      <c r="L320" s="626"/>
      <c r="M320" s="627"/>
      <c r="N320" s="636" t="s">
        <v>842</v>
      </c>
      <c r="O320" s="636" t="s">
        <v>216</v>
      </c>
      <c r="P320" s="903" t="s">
        <v>1411</v>
      </c>
      <c r="Q320" s="631"/>
      <c r="S320" s="611"/>
      <c r="T320" s="611"/>
      <c r="U320" s="611"/>
      <c r="V320" s="611"/>
      <c r="W320" s="611"/>
      <c r="X320" s="611"/>
      <c r="Y320" s="611"/>
      <c r="Z320" s="611"/>
      <c r="AA320" s="611"/>
    </row>
    <row r="321" spans="1:27" ht="12" customHeight="1">
      <c r="A321" s="611"/>
      <c r="B321" s="640"/>
      <c r="C321" s="507" t="s">
        <v>2978</v>
      </c>
      <c r="D321" s="507" t="s">
        <v>1871</v>
      </c>
      <c r="E321" s="637" t="s">
        <v>2979</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2980</v>
      </c>
      <c r="D322" s="507" t="s">
        <v>2011</v>
      </c>
      <c r="E322" s="637" t="s">
        <v>2981</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2982</v>
      </c>
      <c r="D323" s="507" t="s">
        <v>1871</v>
      </c>
      <c r="E323" s="637" t="s">
        <v>2983</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2984</v>
      </c>
      <c r="D324" s="507" t="s">
        <v>2035</v>
      </c>
      <c r="E324" s="630" t="s">
        <v>2985</v>
      </c>
      <c r="F324" s="630"/>
      <c r="G324" s="631" t="s">
        <v>1813</v>
      </c>
      <c r="H324" s="632" t="s">
        <v>536</v>
      </c>
      <c r="I324" s="638"/>
      <c r="J324" s="634" t="s">
        <v>841</v>
      </c>
      <c r="K324" s="635"/>
      <c r="L324" s="626"/>
      <c r="M324" s="627"/>
      <c r="N324" s="636" t="s">
        <v>3040</v>
      </c>
      <c r="O324" s="636" t="s">
        <v>3371</v>
      </c>
      <c r="P324" s="507" t="s">
        <v>2505</v>
      </c>
      <c r="Q324" s="631"/>
      <c r="S324" s="611"/>
      <c r="T324" s="611"/>
      <c r="U324" s="611"/>
      <c r="V324" s="611"/>
      <c r="W324" s="611"/>
      <c r="X324" s="611"/>
      <c r="Y324" s="611"/>
      <c r="Z324" s="611"/>
      <c r="AA324" s="611"/>
    </row>
    <row r="325" spans="1:27" ht="12" customHeight="1">
      <c r="A325" s="611"/>
      <c r="B325" s="640"/>
      <c r="C325" s="507" t="s">
        <v>2986</v>
      </c>
      <c r="D325" s="507" t="s">
        <v>1871</v>
      </c>
      <c r="E325" s="637" t="s">
        <v>2987</v>
      </c>
      <c r="F325" s="637"/>
      <c r="G325" s="631" t="s">
        <v>1814</v>
      </c>
      <c r="H325" s="632" t="s">
        <v>536</v>
      </c>
      <c r="I325" s="638"/>
      <c r="J325" s="634" t="s">
        <v>1798</v>
      </c>
      <c r="K325" s="635"/>
      <c r="L325" s="626"/>
      <c r="M325" s="627"/>
      <c r="N325" s="636" t="s">
        <v>3042</v>
      </c>
      <c r="O325" s="636" t="s">
        <v>3903</v>
      </c>
      <c r="P325" s="507" t="s">
        <v>2506</v>
      </c>
      <c r="Q325" s="631"/>
      <c r="S325" s="611"/>
      <c r="T325" s="611"/>
      <c r="U325" s="611"/>
      <c r="V325" s="611"/>
      <c r="W325" s="611"/>
      <c r="X325" s="611"/>
      <c r="Y325" s="611"/>
      <c r="Z325" s="611"/>
      <c r="AA325" s="611"/>
    </row>
    <row r="326" spans="1:27" ht="12" customHeight="1">
      <c r="A326" s="611"/>
      <c r="B326" s="640"/>
      <c r="C326" s="507" t="s">
        <v>2988</v>
      </c>
      <c r="D326" s="507" t="s">
        <v>2035</v>
      </c>
      <c r="E326" s="637" t="s">
        <v>2020</v>
      </c>
      <c r="F326" s="637"/>
      <c r="G326" s="631" t="s">
        <v>3888</v>
      </c>
      <c r="H326" s="632" t="s">
        <v>537</v>
      </c>
      <c r="I326" s="638"/>
      <c r="J326" s="634" t="s">
        <v>1235</v>
      </c>
      <c r="K326" s="635"/>
      <c r="L326" s="626"/>
      <c r="M326" s="627"/>
      <c r="N326" s="636" t="s">
        <v>431</v>
      </c>
      <c r="O326" s="636" t="s">
        <v>3024</v>
      </c>
      <c r="P326" s="507" t="s">
        <v>2507</v>
      </c>
      <c r="Q326" s="631"/>
      <c r="S326" s="611"/>
      <c r="T326" s="611"/>
      <c r="U326" s="611"/>
      <c r="V326" s="611"/>
      <c r="W326" s="611"/>
      <c r="X326" s="611"/>
      <c r="Y326" s="611"/>
      <c r="Z326" s="611"/>
      <c r="AA326" s="611"/>
    </row>
    <row r="327" spans="1:27" ht="12" customHeight="1">
      <c r="A327" s="611"/>
      <c r="B327" s="640"/>
      <c r="C327" s="507" t="s">
        <v>2989</v>
      </c>
      <c r="D327" s="507" t="s">
        <v>2011</v>
      </c>
      <c r="E327" s="637" t="s">
        <v>2990</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3083</v>
      </c>
      <c r="D328" s="507" t="s">
        <v>2035</v>
      </c>
      <c r="E328" s="630" t="s">
        <v>3084</v>
      </c>
      <c r="F328" s="630"/>
      <c r="G328" s="631" t="s">
        <v>1816</v>
      </c>
      <c r="H328" s="632" t="s">
        <v>536</v>
      </c>
      <c r="I328" s="638"/>
      <c r="J328" s="634" t="s">
        <v>3039</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3085</v>
      </c>
      <c r="D329" s="507" t="s">
        <v>2011</v>
      </c>
      <c r="E329" s="637" t="s">
        <v>2270</v>
      </c>
      <c r="F329" s="637"/>
      <c r="G329" s="631" t="s">
        <v>2696</v>
      </c>
      <c r="H329" s="632" t="s">
        <v>537</v>
      </c>
      <c r="I329" s="638"/>
      <c r="J329" s="634" t="s">
        <v>3041</v>
      </c>
      <c r="K329" s="635"/>
      <c r="L329" s="626"/>
      <c r="M329" s="627"/>
      <c r="N329" s="636" t="s">
        <v>437</v>
      </c>
      <c r="O329" s="636" t="s">
        <v>3632</v>
      </c>
      <c r="P329" s="507" t="s">
        <v>2510</v>
      </c>
      <c r="Q329" s="631"/>
      <c r="S329" s="611"/>
      <c r="T329" s="611"/>
      <c r="U329" s="611"/>
      <c r="V329" s="611"/>
      <c r="W329" s="611"/>
      <c r="X329" s="611"/>
      <c r="Y329" s="611"/>
      <c r="Z329" s="611"/>
      <c r="AA329" s="611"/>
    </row>
    <row r="330" spans="1:27" ht="12" customHeight="1">
      <c r="A330" s="611"/>
      <c r="B330" s="640"/>
      <c r="C330" s="507" t="s">
        <v>3086</v>
      </c>
      <c r="D330" s="507" t="s">
        <v>2035</v>
      </c>
      <c r="E330" s="637" t="s">
        <v>1338</v>
      </c>
      <c r="F330" s="637"/>
      <c r="G330" s="631" t="s">
        <v>3885</v>
      </c>
      <c r="H330" s="632" t="s">
        <v>537</v>
      </c>
      <c r="I330" s="638"/>
      <c r="J330" s="634" t="s">
        <v>430</v>
      </c>
      <c r="K330" s="635"/>
      <c r="L330" s="626"/>
      <c r="M330" s="627"/>
      <c r="N330" s="636" t="s">
        <v>439</v>
      </c>
      <c r="O330" s="636" t="s">
        <v>2937</v>
      </c>
      <c r="P330" s="507" t="s">
        <v>2511</v>
      </c>
      <c r="Q330" s="631"/>
      <c r="S330" s="611"/>
      <c r="T330" s="611"/>
      <c r="U330" s="611"/>
      <c r="V330" s="611"/>
      <c r="W330" s="611"/>
      <c r="X330" s="611"/>
      <c r="Y330" s="611"/>
      <c r="Z330" s="611"/>
      <c r="AA330" s="611"/>
    </row>
    <row r="331" spans="1:27" ht="12" customHeight="1">
      <c r="A331" s="611"/>
      <c r="B331" s="640"/>
      <c r="C331" s="507" t="s">
        <v>3087</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3011</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3257</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3283</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3561</v>
      </c>
      <c r="H336" s="632" t="s">
        <v>536</v>
      </c>
      <c r="I336" s="638"/>
      <c r="J336" s="634" t="s">
        <v>3010</v>
      </c>
      <c r="K336" s="635"/>
      <c r="L336" s="626"/>
      <c r="M336" s="627"/>
      <c r="N336" s="636" t="s">
        <v>211</v>
      </c>
      <c r="O336" s="636" t="s">
        <v>2936</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3562</v>
      </c>
      <c r="H337" s="632" t="s">
        <v>536</v>
      </c>
      <c r="I337" s="633"/>
      <c r="J337" s="634" t="s">
        <v>3012</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3024</v>
      </c>
      <c r="D338" s="507" t="s">
        <v>2011</v>
      </c>
      <c r="E338" s="630" t="s">
        <v>431</v>
      </c>
      <c r="F338" s="630"/>
      <c r="G338" s="631" t="s">
        <v>3563</v>
      </c>
      <c r="H338" s="632" t="s">
        <v>537</v>
      </c>
      <c r="I338" s="638"/>
      <c r="J338" s="634" t="s">
        <v>3256</v>
      </c>
      <c r="K338" s="635"/>
      <c r="L338" s="626"/>
      <c r="M338" s="627"/>
      <c r="N338" s="507" t="s">
        <v>3871</v>
      </c>
      <c r="O338" s="507" t="s">
        <v>3087</v>
      </c>
      <c r="P338" s="904" t="s">
        <v>3240</v>
      </c>
      <c r="Q338" s="631"/>
      <c r="S338" s="611"/>
      <c r="T338" s="611"/>
      <c r="U338" s="611"/>
      <c r="V338" s="611"/>
      <c r="W338" s="611"/>
      <c r="X338" s="611"/>
      <c r="Y338" s="611"/>
      <c r="Z338" s="611"/>
      <c r="AA338" s="611"/>
    </row>
    <row r="339" spans="1:27" ht="12" customHeight="1">
      <c r="A339" s="611"/>
      <c r="B339" s="640"/>
      <c r="C339" s="507" t="s">
        <v>3025</v>
      </c>
      <c r="D339" s="507" t="s">
        <v>1871</v>
      </c>
      <c r="E339" s="637" t="s">
        <v>3629</v>
      </c>
      <c r="F339" s="637"/>
      <c r="G339" s="631" t="s">
        <v>3564</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3630</v>
      </c>
      <c r="D340" s="507" t="s">
        <v>2035</v>
      </c>
      <c r="E340" s="637" t="s">
        <v>3631</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3632</v>
      </c>
      <c r="D341" s="507" t="s">
        <v>2035</v>
      </c>
      <c r="E341" s="637" t="s">
        <v>3633</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3634</v>
      </c>
      <c r="D342" s="507" t="s">
        <v>1871</v>
      </c>
      <c r="E342" s="637" t="s">
        <v>2810</v>
      </c>
      <c r="F342" s="637"/>
      <c r="G342" s="631" t="s">
        <v>1803</v>
      </c>
      <c r="H342" s="632" t="s">
        <v>537</v>
      </c>
      <c r="I342" s="611"/>
      <c r="J342" s="634" t="s">
        <v>1371</v>
      </c>
      <c r="K342" s="635"/>
      <c r="L342" s="626"/>
      <c r="M342" s="627"/>
      <c r="N342" s="636" t="s">
        <v>3669</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3671</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3872</v>
      </c>
      <c r="O344" s="507" t="s">
        <v>1009</v>
      </c>
      <c r="P344" s="904"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1463</v>
      </c>
      <c r="O349" s="636" t="s">
        <v>3761</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963</v>
      </c>
      <c r="P351" s="904"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3874</v>
      </c>
      <c r="O359" s="507" t="s">
        <v>3278</v>
      </c>
      <c r="P359" s="904"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3875</v>
      </c>
      <c r="O360" s="507" t="s">
        <v>3818</v>
      </c>
      <c r="P360" s="904"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3799</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904"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904"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904"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904"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3758</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3410</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3618</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3757</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904"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3763</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3369</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3733</v>
      </c>
      <c r="O400" s="636" t="s">
        <v>2938</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3285</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903"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3289</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3086</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3818</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2938</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904"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3278</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3815</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2980</v>
      </c>
      <c r="P420" s="904"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3371</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3083</v>
      </c>
      <c r="P426" s="904"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3818</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3815</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3426</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2980</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1675</v>
      </c>
      <c r="O439" s="507" t="s">
        <v>1726</v>
      </c>
      <c r="P439" s="904"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3274</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3903</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2630</v>
      </c>
      <c r="O444" s="636" t="s">
        <v>2984</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3758</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3448</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1676</v>
      </c>
      <c r="O453" s="507" t="s">
        <v>2269</v>
      </c>
      <c r="P453" s="904"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1677</v>
      </c>
      <c r="O455" s="507" t="s">
        <v>3757</v>
      </c>
      <c r="P455" s="904"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904"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2988</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3378</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3086</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904"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3071</v>
      </c>
      <c r="O477" s="636" t="s">
        <v>3085</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2984</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967</v>
      </c>
      <c r="O479" s="636" t="s">
        <v>3757</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904"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1681</v>
      </c>
      <c r="O483" s="507" t="s">
        <v>1740</v>
      </c>
      <c r="P483" s="904"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3816</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3283</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3483</v>
      </c>
      <c r="O490" s="636" t="s">
        <v>3902</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3485</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1682</v>
      </c>
      <c r="O493" s="507" t="s">
        <v>3083</v>
      </c>
      <c r="P493" s="904"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3085</v>
      </c>
      <c r="P495" s="903"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903"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3086</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2938</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3085</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3757</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3281</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2938</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3770</v>
      </c>
      <c r="O510" s="636" t="s">
        <v>2978</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3760</v>
      </c>
      <c r="P511" s="904"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3895</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3289</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2938</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3900</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3760</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3279</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3815</v>
      </c>
      <c r="P520" s="904"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3902</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3632</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3468</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903"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3172</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3086</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904"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1685</v>
      </c>
      <c r="O546" s="507" t="s">
        <v>232</v>
      </c>
      <c r="P546" s="904"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3757</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3906</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3189</v>
      </c>
      <c r="O552" s="636" t="s">
        <v>3763</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1866</v>
      </c>
      <c r="P558" s="904"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903"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2338</v>
      </c>
      <c r="O567" s="636" t="s">
        <v>3761</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904"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904"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904"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2859</v>
      </c>
      <c r="O574" s="636" t="s">
        <v>3901</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2627</v>
      </c>
      <c r="O585" s="636" t="s">
        <v>3274</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1418</v>
      </c>
      <c r="O586" s="636" t="s">
        <v>3281</v>
      </c>
      <c r="P586" s="903"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3402</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3404</v>
      </c>
      <c r="O588" s="636" t="s">
        <v>3278</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3900</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904"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3215</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2163</v>
      </c>
      <c r="O601" s="636" t="s">
        <v>415</v>
      </c>
      <c r="P601" s="627" t="s">
        <v>1163</v>
      </c>
      <c r="Q601" s="611"/>
      <c r="R601" s="507" t="s">
        <v>3864</v>
      </c>
      <c r="S601" s="507" t="s">
        <v>963</v>
      </c>
      <c r="T601" s="904"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904" t="s">
        <v>3240</v>
      </c>
      <c r="Q602" s="611"/>
      <c r="R602" s="507" t="s">
        <v>3865</v>
      </c>
      <c r="S602" s="507" t="s">
        <v>414</v>
      </c>
      <c r="T602" s="904"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3866</v>
      </c>
      <c r="S603" s="507" t="s">
        <v>3757</v>
      </c>
      <c r="T603" s="904"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3867</v>
      </c>
      <c r="S604" s="507"/>
      <c r="T604" s="904"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3146</v>
      </c>
      <c r="O605" s="636" t="s">
        <v>1548</v>
      </c>
      <c r="P605" s="627" t="s">
        <v>1166</v>
      </c>
      <c r="Q605" s="611"/>
      <c r="R605" s="507" t="s">
        <v>3868</v>
      </c>
      <c r="S605" s="507" t="s">
        <v>3085</v>
      </c>
      <c r="T605" s="904"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1167</v>
      </c>
      <c r="Q606" s="611"/>
      <c r="R606" s="507" t="s">
        <v>3869</v>
      </c>
      <c r="S606" s="507" t="s">
        <v>3757</v>
      </c>
      <c r="T606" s="904"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1168</v>
      </c>
      <c r="Q607" s="611"/>
      <c r="R607" s="507" t="s">
        <v>3870</v>
      </c>
      <c r="S607" s="507" t="s">
        <v>2027</v>
      </c>
      <c r="T607" s="904"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3283</v>
      </c>
      <c r="P608" s="627" t="s">
        <v>1169</v>
      </c>
      <c r="Q608" s="611"/>
      <c r="R608" s="507" t="s">
        <v>3871</v>
      </c>
      <c r="S608" s="507" t="s">
        <v>3087</v>
      </c>
      <c r="T608" s="904"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3872</v>
      </c>
      <c r="S609" s="507" t="s">
        <v>1009</v>
      </c>
      <c r="T609" s="904"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3873</v>
      </c>
      <c r="S610" s="507" t="s">
        <v>963</v>
      </c>
      <c r="T610" s="904"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3874</v>
      </c>
      <c r="S611" s="507" t="s">
        <v>3278</v>
      </c>
      <c r="T611" s="904"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3875</v>
      </c>
      <c r="S612" s="507" t="s">
        <v>3818</v>
      </c>
      <c r="T612" s="904"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3900</v>
      </c>
      <c r="P613" s="627" t="s">
        <v>1174</v>
      </c>
      <c r="Q613" s="611"/>
      <c r="R613" s="507" t="s">
        <v>3371</v>
      </c>
      <c r="S613" s="507" t="s">
        <v>3815</v>
      </c>
      <c r="T613" s="904"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3634</v>
      </c>
      <c r="P614" s="627" t="s">
        <v>1175</v>
      </c>
      <c r="Q614" s="611"/>
      <c r="R614" s="507" t="s">
        <v>3876</v>
      </c>
      <c r="S614" s="507" t="s">
        <v>3278</v>
      </c>
      <c r="T614" s="904"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3760</v>
      </c>
      <c r="P615" s="627" t="s">
        <v>1176</v>
      </c>
      <c r="Q615" s="611"/>
      <c r="R615" s="507" t="s">
        <v>3877</v>
      </c>
      <c r="S615" s="507" t="s">
        <v>3760</v>
      </c>
      <c r="T615" s="904"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2851</v>
      </c>
      <c r="O616" s="636" t="s">
        <v>124</v>
      </c>
      <c r="P616" s="903" t="s">
        <v>1411</v>
      </c>
      <c r="Q616" s="611"/>
      <c r="R616" s="507" t="s">
        <v>3878</v>
      </c>
      <c r="S616" s="507" t="s">
        <v>3085</v>
      </c>
      <c r="T616" s="904"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1729</v>
      </c>
      <c r="O617" s="636" t="s">
        <v>1219</v>
      </c>
      <c r="P617" s="627" t="s">
        <v>1177</v>
      </c>
      <c r="Q617" s="611"/>
      <c r="R617" s="507" t="s">
        <v>1671</v>
      </c>
      <c r="S617" s="507" t="s">
        <v>2180</v>
      </c>
      <c r="T617" s="904"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1691</v>
      </c>
      <c r="O618" s="507" t="s">
        <v>1550</v>
      </c>
      <c r="P618" s="904" t="s">
        <v>3240</v>
      </c>
      <c r="Q618" s="611"/>
      <c r="R618" s="507" t="s">
        <v>1497</v>
      </c>
      <c r="S618" s="507" t="s">
        <v>1733</v>
      </c>
      <c r="T618" s="904"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1733</v>
      </c>
      <c r="O619" s="636" t="s">
        <v>2024</v>
      </c>
      <c r="P619" s="627" t="s">
        <v>1178</v>
      </c>
      <c r="Q619" s="611"/>
      <c r="R619" s="507" t="s">
        <v>1672</v>
      </c>
      <c r="S619" s="507" t="s">
        <v>963</v>
      </c>
      <c r="T619" s="904"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2980</v>
      </c>
      <c r="T620" s="904"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904" t="s">
        <v>3240</v>
      </c>
      <c r="Q621" s="611"/>
      <c r="R621" s="507" t="s">
        <v>1674</v>
      </c>
      <c r="S621" s="507" t="s">
        <v>3083</v>
      </c>
      <c r="T621" s="904"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904"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1180</v>
      </c>
      <c r="Q623" s="905"/>
      <c r="R623" s="507" t="s">
        <v>1676</v>
      </c>
      <c r="S623" s="507" t="s">
        <v>2269</v>
      </c>
      <c r="T623" s="904"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1181</v>
      </c>
      <c r="Q624" s="611"/>
      <c r="R624" s="507" t="s">
        <v>1677</v>
      </c>
      <c r="S624" s="507" t="s">
        <v>3757</v>
      </c>
      <c r="T624" s="904"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904" t="s">
        <v>3240</v>
      </c>
      <c r="Q625" s="611"/>
      <c r="R625" s="507" t="s">
        <v>1678</v>
      </c>
      <c r="S625" s="507" t="s">
        <v>215</v>
      </c>
      <c r="T625" s="904"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1694</v>
      </c>
      <c r="O626" s="507" t="s">
        <v>411</v>
      </c>
      <c r="P626" s="904" t="s">
        <v>3240</v>
      </c>
      <c r="Q626" s="611"/>
      <c r="R626" s="507" t="s">
        <v>1679</v>
      </c>
      <c r="S626" s="507" t="s">
        <v>2034</v>
      </c>
      <c r="T626" s="904"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2027</v>
      </c>
      <c r="P627" s="627" t="s">
        <v>1182</v>
      </c>
      <c r="Q627" s="611"/>
      <c r="R627" s="507" t="s">
        <v>1680</v>
      </c>
      <c r="S627" s="507" t="s">
        <v>2269</v>
      </c>
      <c r="T627" s="904"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1183</v>
      </c>
      <c r="Q628" s="611"/>
      <c r="R628" s="507" t="s">
        <v>1681</v>
      </c>
      <c r="S628" s="507" t="s">
        <v>1740</v>
      </c>
      <c r="T628" s="904"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1184</v>
      </c>
      <c r="Q629" s="611"/>
      <c r="R629" s="507" t="s">
        <v>1682</v>
      </c>
      <c r="S629" s="507" t="s">
        <v>3083</v>
      </c>
      <c r="T629" s="904"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2177</v>
      </c>
      <c r="P630" s="627" t="s">
        <v>1185</v>
      </c>
      <c r="Q630" s="611"/>
      <c r="R630" s="636" t="s">
        <v>1415</v>
      </c>
      <c r="S630" s="636" t="s">
        <v>1463</v>
      </c>
      <c r="T630" s="904"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1010</v>
      </c>
      <c r="P631" s="627" t="s">
        <v>1186</v>
      </c>
      <c r="Q631" s="611"/>
      <c r="R631" s="507" t="s">
        <v>1683</v>
      </c>
      <c r="S631" s="507" t="s">
        <v>3760</v>
      </c>
      <c r="T631" s="904"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1187</v>
      </c>
      <c r="Q632" s="611"/>
      <c r="R632" s="507" t="s">
        <v>2368</v>
      </c>
      <c r="S632" s="507" t="s">
        <v>3815</v>
      </c>
      <c r="T632" s="904"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3291</v>
      </c>
      <c r="P633" s="627" t="s">
        <v>1188</v>
      </c>
      <c r="Q633" s="611"/>
      <c r="R633" s="507" t="s">
        <v>1684</v>
      </c>
      <c r="S633" s="507"/>
      <c r="T633" s="904"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904"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904"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3281</v>
      </c>
      <c r="P636" s="627" t="s">
        <v>1191</v>
      </c>
      <c r="Q636" s="611"/>
      <c r="R636" s="507" t="s">
        <v>3416</v>
      </c>
      <c r="S636" s="507" t="s">
        <v>1866</v>
      </c>
      <c r="T636" s="904"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904"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904"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904"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904"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3757</v>
      </c>
      <c r="P641" s="627" t="s">
        <v>1196</v>
      </c>
      <c r="Q641" s="611"/>
      <c r="R641" s="507" t="s">
        <v>1690</v>
      </c>
      <c r="S641" s="507" t="s">
        <v>2663</v>
      </c>
      <c r="T641" s="904"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3763</v>
      </c>
      <c r="P642" s="627" t="s">
        <v>1197</v>
      </c>
      <c r="Q642" s="611"/>
      <c r="R642" s="507" t="s">
        <v>1691</v>
      </c>
      <c r="S642" s="507" t="s">
        <v>1550</v>
      </c>
      <c r="T642" s="904"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3819</v>
      </c>
      <c r="P643" s="627" t="s">
        <v>1198</v>
      </c>
      <c r="Q643" s="611"/>
      <c r="R643" s="507" t="s">
        <v>1692</v>
      </c>
      <c r="S643" s="507" t="s">
        <v>137</v>
      </c>
      <c r="T643" s="904"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904" t="s">
        <v>3240</v>
      </c>
      <c r="Q644" s="611"/>
      <c r="R644" s="507" t="s">
        <v>1693</v>
      </c>
      <c r="S644" s="507" t="s">
        <v>963</v>
      </c>
      <c r="T644" s="904"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3025</v>
      </c>
      <c r="P645" s="627" t="s">
        <v>1199</v>
      </c>
      <c r="Q645" s="611"/>
      <c r="R645" s="507" t="s">
        <v>1694</v>
      </c>
      <c r="S645" s="507" t="s">
        <v>411</v>
      </c>
      <c r="T645" s="904"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904"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3396</v>
      </c>
      <c r="O647" s="636" t="s">
        <v>3274</v>
      </c>
      <c r="P647" s="627" t="s">
        <v>1201</v>
      </c>
      <c r="Q647" s="611"/>
      <c r="R647" s="507" t="s">
        <v>1419</v>
      </c>
      <c r="S647" s="507" t="s">
        <v>2013</v>
      </c>
      <c r="T647" s="904"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1001</v>
      </c>
      <c r="P648" s="627" t="s">
        <v>1202</v>
      </c>
      <c r="Q648" s="611"/>
      <c r="R648" s="507" t="s">
        <v>1696</v>
      </c>
      <c r="S648" s="507" t="s">
        <v>1009</v>
      </c>
      <c r="T648" s="904"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2798</v>
      </c>
      <c r="O649" s="636" t="s">
        <v>1221</v>
      </c>
      <c r="P649" s="627" t="s">
        <v>1203</v>
      </c>
      <c r="Q649" s="611"/>
      <c r="R649" s="507" t="s">
        <v>1697</v>
      </c>
      <c r="S649" s="507" t="s">
        <v>2269</v>
      </c>
      <c r="T649" s="904"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3806</v>
      </c>
      <c r="O650" s="636" t="s">
        <v>3085</v>
      </c>
      <c r="P650" s="627" t="s">
        <v>1204</v>
      </c>
      <c r="Q650" s="611"/>
      <c r="R650" s="507" t="s">
        <v>1698</v>
      </c>
      <c r="S650" s="507" t="s">
        <v>963</v>
      </c>
      <c r="T650" s="904"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1866</v>
      </c>
      <c r="P651" s="627" t="s">
        <v>1205</v>
      </c>
      <c r="Q651" s="611"/>
      <c r="R651" s="507" t="s">
        <v>1699</v>
      </c>
      <c r="S651" s="507" t="s">
        <v>1001</v>
      </c>
      <c r="T651" s="904"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2514</v>
      </c>
      <c r="O652" s="636" t="s">
        <v>1003</v>
      </c>
      <c r="P652" s="627" t="s">
        <v>746</v>
      </c>
      <c r="Q652" s="611"/>
      <c r="R652" s="507" t="s">
        <v>1700</v>
      </c>
      <c r="S652" s="507" t="s">
        <v>215</v>
      </c>
      <c r="T652" s="904"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903" t="s">
        <v>1411</v>
      </c>
      <c r="Q653" s="611"/>
      <c r="R653" s="507" t="s">
        <v>1701</v>
      </c>
      <c r="S653" s="507" t="s">
        <v>2980</v>
      </c>
      <c r="T653" s="904"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904" t="s">
        <v>3240</v>
      </c>
      <c r="Q654" s="611"/>
      <c r="R654" s="507" t="s">
        <v>1702</v>
      </c>
      <c r="S654" s="507" t="s">
        <v>3083</v>
      </c>
      <c r="T654" s="904"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3895</v>
      </c>
      <c r="P655" s="627" t="s">
        <v>747</v>
      </c>
      <c r="Q655" s="611"/>
      <c r="R655" s="507" t="s">
        <v>1703</v>
      </c>
      <c r="S655" s="507" t="s">
        <v>963</v>
      </c>
      <c r="T655" s="904"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904"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904" t="s">
        <v>3240</v>
      </c>
      <c r="Q657" s="611"/>
      <c r="R657" s="507" t="s">
        <v>1705</v>
      </c>
      <c r="S657" s="507" t="s">
        <v>3760</v>
      </c>
      <c r="T657" s="904"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3659</v>
      </c>
      <c r="O658" s="636" t="s">
        <v>120</v>
      </c>
      <c r="P658" s="627" t="s">
        <v>748</v>
      </c>
      <c r="Q658" s="611"/>
      <c r="R658" s="507" t="s">
        <v>1706</v>
      </c>
      <c r="S658" s="507" t="s">
        <v>215</v>
      </c>
      <c r="T658" s="904"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904"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2002</v>
      </c>
      <c r="O660" s="636" t="s">
        <v>2978</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3813</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1698</v>
      </c>
      <c r="O665" s="507" t="s">
        <v>963</v>
      </c>
      <c r="P665" s="904"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3818</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904"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3287</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3818</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3068</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904"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2945</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741</v>
      </c>
      <c r="O681" s="636" t="s">
        <v>3086</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3825</v>
      </c>
      <c r="O683" s="636" t="s">
        <v>3816</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1696</v>
      </c>
      <c r="O687" s="507" t="s">
        <v>1009</v>
      </c>
      <c r="P687" s="904"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3196</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1531</v>
      </c>
      <c r="O691" s="636" t="s">
        <v>3369</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3780</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1398</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1701</v>
      </c>
      <c r="O699" s="507" t="s">
        <v>2980</v>
      </c>
      <c r="P699" s="904"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1702</v>
      </c>
      <c r="O700" s="507" t="s">
        <v>3083</v>
      </c>
      <c r="P700" s="904"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2122</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1746</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905"/>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1420</v>
      </c>
      <c r="O716" s="636" t="s">
        <v>3083</v>
      </c>
      <c r="P716" s="903"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3222</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999"/>
      <c r="K722" s="1000"/>
      <c r="L722" s="1000"/>
      <c r="M722" s="1001"/>
      <c r="N722" s="636" t="s">
        <v>3480</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904"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3369</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904"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903"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3760</v>
      </c>
      <c r="P747" s="904"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903"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904"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904"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C20" sheet="1" objects="1" scenarios="1" formatCells="0" formatColumns="0" formatRows="0"/>
  <mergeCells count="159">
    <mergeCell ref="M106:P106"/>
    <mergeCell ref="L17:P17"/>
    <mergeCell ref="C102:E102"/>
    <mergeCell ref="C103:E103"/>
    <mergeCell ref="C104:E104"/>
    <mergeCell ref="C106:E106"/>
    <mergeCell ref="C105:E105"/>
    <mergeCell ref="F104:I104"/>
    <mergeCell ref="F106:I106"/>
    <mergeCell ref="F105:I105"/>
    <mergeCell ref="F103:I103"/>
    <mergeCell ref="F102:I102"/>
    <mergeCell ref="J104:L104"/>
    <mergeCell ref="J106:L106"/>
    <mergeCell ref="J105:L105"/>
    <mergeCell ref="J102:L102"/>
    <mergeCell ref="J103:L103"/>
    <mergeCell ref="M104:P104"/>
    <mergeCell ref="M105:P105"/>
    <mergeCell ref="K71:L71"/>
    <mergeCell ref="F29:G29"/>
    <mergeCell ref="J6:K6"/>
    <mergeCell ref="M107:P107"/>
    <mergeCell ref="C107:E107"/>
    <mergeCell ref="F107:I107"/>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E163:H163"/>
    <mergeCell ref="A1:P1"/>
    <mergeCell ref="O16:P16"/>
    <mergeCell ref="H28:I28"/>
    <mergeCell ref="O4:P4"/>
    <mergeCell ref="F22:L22"/>
    <mergeCell ref="F23:L23"/>
    <mergeCell ref="J24:K24"/>
    <mergeCell ref="O15:P15"/>
    <mergeCell ref="O24:P24"/>
    <mergeCell ref="C25:D25"/>
    <mergeCell ref="F24:H24"/>
    <mergeCell ref="J25:K25"/>
    <mergeCell ref="F28:G28"/>
    <mergeCell ref="F17:H17"/>
    <mergeCell ref="J28:K28"/>
    <mergeCell ref="O23:P23"/>
    <mergeCell ref="F15:H15"/>
    <mergeCell ref="F9:H9"/>
    <mergeCell ref="F13:L13"/>
    <mergeCell ref="J9:P9"/>
    <mergeCell ref="F14:L14"/>
    <mergeCell ref="M3:P3"/>
    <mergeCell ref="O14:P14"/>
    <mergeCell ref="C113:E113"/>
    <mergeCell ref="F113:I113"/>
    <mergeCell ref="O86:P86"/>
    <mergeCell ref="M86:N86"/>
    <mergeCell ref="M87:N87"/>
    <mergeCell ref="E87:L87"/>
    <mergeCell ref="J116:L116"/>
    <mergeCell ref="J117:L117"/>
    <mergeCell ref="F117:I117"/>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3:P103"/>
    <mergeCell ref="M102:P102"/>
    <mergeCell ref="J722:M722"/>
    <mergeCell ref="I168:J168"/>
    <mergeCell ref="I166:J166"/>
    <mergeCell ref="I167:J167"/>
    <mergeCell ref="K172:P172"/>
    <mergeCell ref="A172:J172"/>
    <mergeCell ref="A171:J171"/>
    <mergeCell ref="K171:P171"/>
    <mergeCell ref="A173:J173"/>
    <mergeCell ref="K173:P173"/>
    <mergeCell ref="C154:D154"/>
    <mergeCell ref="O162:P162"/>
    <mergeCell ref="M116:P11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M147:O147"/>
    <mergeCell ref="J147:K147"/>
    <mergeCell ref="O126:P126"/>
    <mergeCell ref="M145:O145"/>
    <mergeCell ref="J115:L115"/>
    <mergeCell ref="J7:K7"/>
    <mergeCell ref="N65:P65"/>
    <mergeCell ref="L41:P41"/>
    <mergeCell ref="N13:P13"/>
    <mergeCell ref="L34:N34"/>
    <mergeCell ref="O25:P25"/>
    <mergeCell ref="L33:N33"/>
    <mergeCell ref="J26:L26"/>
    <mergeCell ref="O22:P22"/>
    <mergeCell ref="M35:N35"/>
    <mergeCell ref="F33:J33"/>
    <mergeCell ref="J30:K30"/>
    <mergeCell ref="J29:K29"/>
    <mergeCell ref="H29:I29"/>
    <mergeCell ref="F30:G30"/>
    <mergeCell ref="F35:G35"/>
    <mergeCell ref="H30:I30"/>
    <mergeCell ref="J16:K16"/>
    <mergeCell ref="L39:O39"/>
    <mergeCell ref="M144:O144"/>
    <mergeCell ref="C118:E118"/>
    <mergeCell ref="F118:I118"/>
    <mergeCell ref="J118:L118"/>
    <mergeCell ref="H128:I128"/>
    <mergeCell ref="O127:P127"/>
    <mergeCell ref="C119:E119"/>
    <mergeCell ref="F119:I119"/>
    <mergeCell ref="J119:L119"/>
    <mergeCell ref="M119:P119"/>
    <mergeCell ref="M143:P143"/>
    <mergeCell ref="E143:K143"/>
    <mergeCell ref="E142:K142"/>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H36" sqref="H36:N36"/>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070" t="str">
        <f>CONCATENATE("PART TWO - DEVELOPMENT TEAM INFORMATION","  -  ",'Part I-Project Information'!$O$4," ",'Part I-Project Information'!$F$22,", ",'Part I-Project Information'!F24,", ",'Part I-Project Information'!J25," County")</f>
        <v>PART TWO - DEVELOPMENT TEAM INFORMATION  -  2011-003 Pecan Point Apartments, Cochran, Bleckley County</v>
      </c>
      <c r="B1" s="1071"/>
      <c r="C1" s="1071"/>
      <c r="D1" s="1071"/>
      <c r="E1" s="1071"/>
      <c r="F1" s="1071"/>
      <c r="G1" s="1071"/>
      <c r="H1" s="1071"/>
      <c r="I1" s="1071"/>
      <c r="J1" s="1071"/>
      <c r="K1" s="1071"/>
      <c r="L1" s="1071"/>
      <c r="M1" s="1071"/>
      <c r="N1" s="1071"/>
      <c r="O1" s="1071"/>
      <c r="P1" s="1071"/>
      <c r="Q1" s="1071"/>
      <c r="R1" s="1071"/>
      <c r="S1" s="1072"/>
    </row>
    <row r="3" spans="1:19" s="458" customFormat="1" ht="13.2" customHeight="1">
      <c r="A3" s="461" t="s">
        <v>949</v>
      </c>
      <c r="B3" s="465" t="s">
        <v>2911</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3058</v>
      </c>
      <c r="C5" s="465" t="s">
        <v>2907</v>
      </c>
      <c r="H5" s="956" t="s">
        <v>3932</v>
      </c>
      <c r="I5" s="1052"/>
      <c r="J5" s="1052"/>
      <c r="K5" s="1052"/>
      <c r="L5" s="1052"/>
      <c r="M5" s="1052"/>
      <c r="N5" s="1053"/>
      <c r="O5" s="713" t="s">
        <v>3065</v>
      </c>
      <c r="P5" s="713"/>
      <c r="Q5" s="1223" t="s">
        <v>3924</v>
      </c>
      <c r="R5" s="1224"/>
      <c r="S5" s="1225"/>
    </row>
    <row r="6" spans="1:19" s="458" customFormat="1" ht="12.6" customHeight="1">
      <c r="D6" s="508"/>
      <c r="E6" s="464" t="s">
        <v>1640</v>
      </c>
      <c r="F6" s="472"/>
      <c r="H6" s="956" t="s">
        <v>4040</v>
      </c>
      <c r="I6" s="1052"/>
      <c r="J6" s="1052"/>
      <c r="K6" s="1052"/>
      <c r="L6" s="1052"/>
      <c r="M6" s="1052"/>
      <c r="N6" s="1053"/>
      <c r="O6" s="713" t="s">
        <v>2774</v>
      </c>
      <c r="Q6" s="1223" t="s">
        <v>3933</v>
      </c>
      <c r="R6" s="1224"/>
      <c r="S6" s="1225"/>
    </row>
    <row r="7" spans="1:19" s="458" customFormat="1" ht="12.6" customHeight="1">
      <c r="D7" s="508"/>
      <c r="E7" s="464" t="s">
        <v>952</v>
      </c>
      <c r="H7" s="956" t="s">
        <v>1865</v>
      </c>
      <c r="I7" s="1052"/>
      <c r="J7" s="1053"/>
      <c r="K7" s="881" t="s">
        <v>1253</v>
      </c>
      <c r="L7" s="956"/>
      <c r="M7" s="1052"/>
      <c r="N7" s="1053"/>
      <c r="O7" s="713" t="s">
        <v>2833</v>
      </c>
      <c r="Q7" s="1226">
        <v>4049493873</v>
      </c>
      <c r="R7" s="1227"/>
      <c r="S7" s="1228"/>
    </row>
    <row r="8" spans="1:19" s="458" customFormat="1" ht="12.6" customHeight="1">
      <c r="D8" s="508"/>
      <c r="E8" s="464" t="s">
        <v>2829</v>
      </c>
      <c r="H8" s="877" t="s">
        <v>1437</v>
      </c>
      <c r="I8" s="719" t="s">
        <v>1972</v>
      </c>
      <c r="J8" s="986">
        <v>303272800</v>
      </c>
      <c r="K8" s="1053"/>
      <c r="L8" s="398" t="s">
        <v>1975</v>
      </c>
      <c r="N8" s="882">
        <v>5</v>
      </c>
      <c r="O8" s="713" t="s">
        <v>3054</v>
      </c>
      <c r="Q8" s="1226">
        <v>7708619049</v>
      </c>
      <c r="R8" s="1227"/>
      <c r="S8" s="1228"/>
    </row>
    <row r="9" spans="1:19" s="458" customFormat="1" ht="12.6" customHeight="1">
      <c r="D9" s="508"/>
      <c r="E9" s="464" t="s">
        <v>3060</v>
      </c>
      <c r="H9" s="948">
        <v>4049493873</v>
      </c>
      <c r="I9" s="950"/>
      <c r="J9" s="883"/>
      <c r="K9" s="719" t="s">
        <v>2832</v>
      </c>
      <c r="L9" s="977">
        <v>4049493880</v>
      </c>
      <c r="M9" s="1053"/>
      <c r="N9" s="466" t="s">
        <v>3059</v>
      </c>
      <c r="O9" s="1087" t="s">
        <v>3926</v>
      </c>
      <c r="P9" s="1088"/>
      <c r="Q9" s="1088"/>
      <c r="R9" s="1088"/>
      <c r="S9" s="1089"/>
    </row>
    <row r="10" spans="1:19" s="458" customFormat="1" ht="13.2" customHeight="1">
      <c r="D10" s="508"/>
      <c r="E10" s="441" t="s">
        <v>996</v>
      </c>
      <c r="H10" s="501"/>
      <c r="L10" s="550" t="s">
        <v>1973</v>
      </c>
      <c r="N10" s="719"/>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3061</v>
      </c>
      <c r="C12" s="465" t="s">
        <v>2908</v>
      </c>
      <c r="F12" s="465"/>
      <c r="G12" s="465"/>
      <c r="H12" s="465"/>
      <c r="I12" s="465"/>
      <c r="J12" s="465"/>
      <c r="K12" s="465"/>
      <c r="L12" s="397" t="s">
        <v>1970</v>
      </c>
      <c r="O12" s="1086" t="s">
        <v>1971</v>
      </c>
      <c r="P12" s="1086"/>
      <c r="Q12" s="1086"/>
      <c r="R12" s="1086"/>
      <c r="S12" s="1086"/>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3062</v>
      </c>
      <c r="D14" s="506" t="s">
        <v>3063</v>
      </c>
      <c r="H14" s="721"/>
      <c r="I14" s="721"/>
      <c r="J14" s="721"/>
      <c r="K14" s="459"/>
      <c r="L14" s="397" t="s">
        <v>1974</v>
      </c>
      <c r="M14" s="482"/>
      <c r="O14" s="1085" t="s">
        <v>1969</v>
      </c>
      <c r="P14" s="1085"/>
      <c r="Q14" s="1085"/>
      <c r="R14" s="1085"/>
      <c r="S14" s="1085"/>
    </row>
    <row r="15" spans="1:19" s="458" customFormat="1" ht="4.2" customHeight="1">
      <c r="D15" s="510"/>
      <c r="E15" s="511"/>
      <c r="H15" s="884"/>
      <c r="I15" s="884"/>
      <c r="J15" s="884"/>
      <c r="K15" s="717"/>
      <c r="L15" s="884"/>
      <c r="M15" s="884"/>
      <c r="N15" s="717"/>
      <c r="O15" s="885"/>
      <c r="P15" s="885"/>
      <c r="Q15" s="719"/>
      <c r="R15" s="885"/>
      <c r="S15" s="885"/>
    </row>
    <row r="16" spans="1:19" s="458" customFormat="1" ht="12.6" customHeight="1">
      <c r="D16" s="461" t="s">
        <v>3211</v>
      </c>
      <c r="E16" s="458" t="s">
        <v>2909</v>
      </c>
      <c r="H16" s="956" t="s">
        <v>3934</v>
      </c>
      <c r="I16" s="1052"/>
      <c r="J16" s="1052"/>
      <c r="K16" s="1052"/>
      <c r="L16" s="1052"/>
      <c r="M16" s="1052"/>
      <c r="N16" s="1053"/>
      <c r="O16" s="713" t="s">
        <v>3065</v>
      </c>
      <c r="P16" s="713"/>
      <c r="Q16" s="1229" t="s">
        <v>3924</v>
      </c>
      <c r="R16" s="1230"/>
      <c r="S16" s="1231"/>
    </row>
    <row r="17" spans="4:19" s="458" customFormat="1" ht="12.6" customHeight="1">
      <c r="D17" s="508"/>
      <c r="E17" s="464" t="s">
        <v>1640</v>
      </c>
      <c r="F17" s="472"/>
      <c r="H17" s="956" t="s">
        <v>4040</v>
      </c>
      <c r="I17" s="1052"/>
      <c r="J17" s="1052"/>
      <c r="K17" s="1052"/>
      <c r="L17" s="1052"/>
      <c r="M17" s="1052"/>
      <c r="N17" s="1053"/>
      <c r="O17" s="713" t="s">
        <v>2774</v>
      </c>
      <c r="Q17" s="1229" t="s">
        <v>3933</v>
      </c>
      <c r="R17" s="1230"/>
      <c r="S17" s="1231"/>
    </row>
    <row r="18" spans="4:19" s="458" customFormat="1" ht="12.6" customHeight="1">
      <c r="D18" s="508"/>
      <c r="E18" s="464" t="s">
        <v>952</v>
      </c>
      <c r="H18" s="956" t="s">
        <v>1865</v>
      </c>
      <c r="I18" s="1052"/>
      <c r="J18" s="1053"/>
      <c r="O18" s="713" t="s">
        <v>2833</v>
      </c>
      <c r="Q18" s="1093">
        <v>4049493873</v>
      </c>
      <c r="R18" s="1094"/>
      <c r="S18" s="1095"/>
    </row>
    <row r="19" spans="4:19" s="458" customFormat="1" ht="12.6" customHeight="1">
      <c r="D19" s="461"/>
      <c r="E19" s="464" t="s">
        <v>2829</v>
      </c>
      <c r="H19" s="877" t="s">
        <v>1437</v>
      </c>
      <c r="I19" s="719" t="s">
        <v>1972</v>
      </c>
      <c r="J19" s="986">
        <v>303272800</v>
      </c>
      <c r="K19" s="1053"/>
      <c r="L19" s="398" t="s">
        <v>1975</v>
      </c>
      <c r="N19" s="882">
        <v>5</v>
      </c>
      <c r="O19" s="713" t="s">
        <v>3054</v>
      </c>
      <c r="Q19" s="1093">
        <v>7708619049</v>
      </c>
      <c r="R19" s="1094"/>
      <c r="S19" s="1095"/>
    </row>
    <row r="20" spans="4:19" s="458" customFormat="1" ht="12.6" customHeight="1">
      <c r="D20" s="508"/>
      <c r="E20" s="464" t="s">
        <v>3060</v>
      </c>
      <c r="H20" s="948">
        <v>4049493873</v>
      </c>
      <c r="I20" s="950"/>
      <c r="J20" s="883"/>
      <c r="K20" s="719" t="s">
        <v>2832</v>
      </c>
      <c r="L20" s="977">
        <v>4049493880</v>
      </c>
      <c r="M20" s="1053"/>
      <c r="N20" s="466" t="s">
        <v>3059</v>
      </c>
      <c r="O20" s="1090" t="s">
        <v>3926</v>
      </c>
      <c r="P20" s="1091"/>
      <c r="Q20" s="1091"/>
      <c r="R20" s="1091"/>
      <c r="S20" s="1092"/>
    </row>
    <row r="21" spans="4:19" ht="4.2" customHeight="1">
      <c r="D21" s="491"/>
      <c r="H21" s="886"/>
      <c r="I21" s="886"/>
      <c r="J21" s="886"/>
      <c r="K21" s="719"/>
      <c r="L21" s="886"/>
      <c r="M21" s="886"/>
      <c r="N21" s="717"/>
      <c r="O21" s="885"/>
      <c r="P21" s="885"/>
      <c r="Q21" s="719"/>
      <c r="R21" s="885"/>
      <c r="S21" s="885"/>
    </row>
    <row r="22" spans="4:19" s="458" customFormat="1" ht="12.6" customHeight="1">
      <c r="D22" s="461" t="s">
        <v>3212</v>
      </c>
      <c r="E22" s="458" t="s">
        <v>2910</v>
      </c>
      <c r="F22" s="721"/>
      <c r="H22" s="956"/>
      <c r="I22" s="1052"/>
      <c r="J22" s="1052"/>
      <c r="K22" s="1052"/>
      <c r="L22" s="1052"/>
      <c r="M22" s="1052"/>
      <c r="N22" s="1053"/>
      <c r="O22" s="713" t="s">
        <v>3065</v>
      </c>
      <c r="P22" s="713"/>
      <c r="Q22" s="956"/>
      <c r="R22" s="1052"/>
      <c r="S22" s="1053"/>
    </row>
    <row r="23" spans="4:19" s="458" customFormat="1" ht="12.6" customHeight="1">
      <c r="D23" s="508"/>
      <c r="E23" s="464" t="s">
        <v>1640</v>
      </c>
      <c r="F23" s="472"/>
      <c r="H23" s="956"/>
      <c r="I23" s="1052"/>
      <c r="J23" s="1052"/>
      <c r="K23" s="1052"/>
      <c r="L23" s="1052"/>
      <c r="M23" s="1052"/>
      <c r="N23" s="1053"/>
      <c r="O23" s="713" t="s">
        <v>2774</v>
      </c>
      <c r="Q23" s="956"/>
      <c r="R23" s="1052"/>
      <c r="S23" s="1053"/>
    </row>
    <row r="24" spans="4:19" s="458" customFormat="1" ht="12.6" customHeight="1">
      <c r="D24" s="508"/>
      <c r="E24" s="464" t="s">
        <v>952</v>
      </c>
      <c r="H24" s="956"/>
      <c r="I24" s="1052"/>
      <c r="J24" s="1053"/>
      <c r="O24" s="713" t="s">
        <v>2833</v>
      </c>
      <c r="Q24" s="948"/>
      <c r="R24" s="949"/>
      <c r="S24" s="950"/>
    </row>
    <row r="25" spans="4:19" s="458" customFormat="1" ht="12.6" customHeight="1">
      <c r="E25" s="464" t="s">
        <v>2829</v>
      </c>
      <c r="H25" s="877"/>
      <c r="I25" s="493" t="s">
        <v>3352</v>
      </c>
      <c r="J25" s="986"/>
      <c r="K25" s="1053"/>
      <c r="O25" s="713" t="s">
        <v>3054</v>
      </c>
      <c r="Q25" s="948"/>
      <c r="R25" s="949"/>
      <c r="S25" s="950"/>
    </row>
    <row r="26" spans="4:19" s="458" customFormat="1" ht="12.6" customHeight="1">
      <c r="D26" s="508"/>
      <c r="E26" s="464" t="s">
        <v>3060</v>
      </c>
      <c r="H26" s="948"/>
      <c r="I26" s="950"/>
      <c r="J26" s="883"/>
      <c r="K26" s="719" t="s">
        <v>2832</v>
      </c>
      <c r="L26" s="977"/>
      <c r="M26" s="1053"/>
      <c r="N26" s="466" t="s">
        <v>3059</v>
      </c>
      <c r="O26" s="961"/>
      <c r="P26" s="962"/>
      <c r="Q26" s="962"/>
      <c r="R26" s="962"/>
      <c r="S26" s="963"/>
    </row>
    <row r="27" spans="4:19" s="458" customFormat="1" ht="4.2" customHeight="1">
      <c r="D27" s="508"/>
      <c r="E27" s="721"/>
      <c r="F27" s="721"/>
      <c r="G27" s="713"/>
      <c r="H27" s="886"/>
      <c r="I27" s="886"/>
      <c r="J27" s="886"/>
      <c r="K27" s="719"/>
      <c r="L27" s="886"/>
      <c r="M27" s="886"/>
      <c r="N27" s="717"/>
      <c r="O27" s="885"/>
      <c r="P27" s="885"/>
      <c r="Q27" s="719"/>
      <c r="R27" s="885"/>
      <c r="S27" s="885"/>
    </row>
    <row r="28" spans="4:19" s="458" customFormat="1" ht="12.6" customHeight="1">
      <c r="D28" s="461" t="s">
        <v>2760</v>
      </c>
      <c r="E28" s="458" t="s">
        <v>2910</v>
      </c>
      <c r="F28" s="721"/>
      <c r="H28" s="956"/>
      <c r="I28" s="1052"/>
      <c r="J28" s="1052"/>
      <c r="K28" s="1052"/>
      <c r="L28" s="1052"/>
      <c r="M28" s="1052"/>
      <c r="N28" s="1053"/>
      <c r="O28" s="713" t="s">
        <v>3065</v>
      </c>
      <c r="P28" s="713"/>
      <c r="Q28" s="956"/>
      <c r="R28" s="1052"/>
      <c r="S28" s="1053"/>
    </row>
    <row r="29" spans="4:19" s="458" customFormat="1" ht="12.6" customHeight="1">
      <c r="D29" s="508"/>
      <c r="E29" s="464" t="s">
        <v>1640</v>
      </c>
      <c r="F29" s="472"/>
      <c r="H29" s="956"/>
      <c r="I29" s="1052"/>
      <c r="J29" s="1052"/>
      <c r="K29" s="1052"/>
      <c r="L29" s="1052"/>
      <c r="M29" s="1052"/>
      <c r="N29" s="1053"/>
      <c r="O29" s="713" t="s">
        <v>2774</v>
      </c>
      <c r="Q29" s="956"/>
      <c r="R29" s="1052"/>
      <c r="S29" s="1053"/>
    </row>
    <row r="30" spans="4:19" s="458" customFormat="1" ht="12.6" customHeight="1">
      <c r="D30" s="508"/>
      <c r="E30" s="464" t="s">
        <v>952</v>
      </c>
      <c r="H30" s="956"/>
      <c r="I30" s="1052"/>
      <c r="J30" s="1053"/>
      <c r="O30" s="713" t="s">
        <v>2833</v>
      </c>
      <c r="Q30" s="948"/>
      <c r="R30" s="949"/>
      <c r="S30" s="950"/>
    </row>
    <row r="31" spans="4:19" s="458" customFormat="1" ht="12.6" customHeight="1">
      <c r="E31" s="464" t="s">
        <v>2829</v>
      </c>
      <c r="H31" s="877"/>
      <c r="I31" s="493" t="s">
        <v>3352</v>
      </c>
      <c r="J31" s="986"/>
      <c r="K31" s="1053"/>
      <c r="O31" s="713" t="s">
        <v>3054</v>
      </c>
      <c r="Q31" s="948"/>
      <c r="R31" s="949"/>
      <c r="S31" s="950"/>
    </row>
    <row r="32" spans="4:19" s="458" customFormat="1" ht="12.6" customHeight="1">
      <c r="D32" s="508"/>
      <c r="E32" s="464" t="s">
        <v>3060</v>
      </c>
      <c r="H32" s="948"/>
      <c r="I32" s="950"/>
      <c r="J32" s="883"/>
      <c r="K32" s="719" t="s">
        <v>2832</v>
      </c>
      <c r="L32" s="977"/>
      <c r="M32" s="1053"/>
      <c r="N32" s="466" t="s">
        <v>3059</v>
      </c>
      <c r="O32" s="961"/>
      <c r="P32" s="962"/>
      <c r="Q32" s="962"/>
      <c r="R32" s="962"/>
      <c r="S32" s="963"/>
    </row>
    <row r="33" spans="3:19" ht="4.2" customHeight="1"/>
    <row r="34" spans="3:19" s="458" customFormat="1" ht="13.2" customHeight="1">
      <c r="C34" s="510" t="s">
        <v>3064</v>
      </c>
      <c r="D34" s="506" t="s">
        <v>2912</v>
      </c>
      <c r="H34" s="721"/>
      <c r="I34" s="721"/>
      <c r="J34" s="721"/>
      <c r="K34" s="721"/>
      <c r="L34" s="721"/>
      <c r="M34" s="721"/>
    </row>
    <row r="35" spans="3:19" s="458" customFormat="1" ht="4.2" customHeight="1">
      <c r="C35" s="512"/>
      <c r="D35" s="506"/>
      <c r="H35" s="884"/>
      <c r="I35" s="884"/>
      <c r="J35" s="884"/>
      <c r="K35" s="717"/>
      <c r="L35" s="884"/>
      <c r="M35" s="884"/>
      <c r="N35" s="717"/>
      <c r="O35" s="885"/>
      <c r="P35" s="885"/>
      <c r="Q35" s="719"/>
      <c r="R35" s="885"/>
      <c r="S35" s="885"/>
    </row>
    <row r="36" spans="3:19" s="458" customFormat="1" ht="12.6" customHeight="1">
      <c r="D36" s="461" t="s">
        <v>3211</v>
      </c>
      <c r="E36" s="458" t="s">
        <v>1238</v>
      </c>
      <c r="H36" s="1099" t="s">
        <v>3935</v>
      </c>
      <c r="I36" s="1100"/>
      <c r="J36" s="1100"/>
      <c r="K36" s="1100"/>
      <c r="L36" s="1100"/>
      <c r="M36" s="1100"/>
      <c r="N36" s="1101"/>
      <c r="O36" s="713" t="s">
        <v>3065</v>
      </c>
      <c r="P36" s="713"/>
      <c r="Q36" s="1096" t="s">
        <v>3936</v>
      </c>
      <c r="R36" s="1097"/>
      <c r="S36" s="1098"/>
    </row>
    <row r="37" spans="3:19" s="458" customFormat="1" ht="12.6" customHeight="1">
      <c r="D37" s="508"/>
      <c r="E37" s="464" t="s">
        <v>1640</v>
      </c>
      <c r="F37" s="472"/>
      <c r="H37" s="1099" t="s">
        <v>4036</v>
      </c>
      <c r="I37" s="1100"/>
      <c r="J37" s="1100"/>
      <c r="K37" s="1100"/>
      <c r="L37" s="1100"/>
      <c r="M37" s="1100"/>
      <c r="N37" s="1101"/>
      <c r="O37" s="713" t="s">
        <v>2774</v>
      </c>
      <c r="Q37" s="1096" t="s">
        <v>3937</v>
      </c>
      <c r="R37" s="1097"/>
      <c r="S37" s="1098"/>
    </row>
    <row r="38" spans="3:19" s="458" customFormat="1" ht="12.6" customHeight="1">
      <c r="D38" s="508"/>
      <c r="E38" s="464" t="s">
        <v>952</v>
      </c>
      <c r="H38" s="956" t="s">
        <v>2175</v>
      </c>
      <c r="I38" s="1052"/>
      <c r="J38" s="1053"/>
      <c r="O38" s="713" t="s">
        <v>2833</v>
      </c>
      <c r="Q38" s="1238">
        <v>7704870555</v>
      </c>
      <c r="R38" s="1239"/>
      <c r="S38" s="1240"/>
    </row>
    <row r="39" spans="3:19" s="458" customFormat="1" ht="12.6" customHeight="1">
      <c r="E39" s="464" t="s">
        <v>2829</v>
      </c>
      <c r="H39" s="877" t="s">
        <v>1437</v>
      </c>
      <c r="I39" s="493" t="s">
        <v>3352</v>
      </c>
      <c r="J39" s="986">
        <v>302691530</v>
      </c>
      <c r="K39" s="1053"/>
      <c r="O39" s="713" t="s">
        <v>3054</v>
      </c>
      <c r="Q39" s="1238">
        <v>7702805165</v>
      </c>
      <c r="R39" s="1239"/>
      <c r="S39" s="1240"/>
    </row>
    <row r="40" spans="3:19" s="458" customFormat="1" ht="12.6" customHeight="1">
      <c r="D40" s="508"/>
      <c r="E40" s="464" t="s">
        <v>3060</v>
      </c>
      <c r="H40" s="948">
        <v>7704870555</v>
      </c>
      <c r="I40" s="950"/>
      <c r="J40" s="883"/>
      <c r="K40" s="719" t="s">
        <v>2832</v>
      </c>
      <c r="L40" s="977">
        <v>6783649958</v>
      </c>
      <c r="M40" s="1053"/>
      <c r="N40" s="466" t="s">
        <v>3059</v>
      </c>
      <c r="O40" s="1241" t="s">
        <v>3938</v>
      </c>
      <c r="P40" s="1242"/>
      <c r="Q40" s="1242"/>
      <c r="R40" s="1242"/>
      <c r="S40" s="1243"/>
    </row>
    <row r="41" spans="3:19" ht="4.2" customHeight="1">
      <c r="H41" s="886"/>
      <c r="I41" s="886"/>
      <c r="J41" s="886"/>
      <c r="K41" s="719"/>
      <c r="L41" s="886"/>
      <c r="M41" s="886"/>
      <c r="N41" s="717"/>
      <c r="O41" s="885"/>
      <c r="P41" s="885"/>
      <c r="Q41" s="719"/>
      <c r="R41" s="885"/>
      <c r="S41" s="885"/>
    </row>
    <row r="42" spans="3:19" s="458" customFormat="1" ht="12.6" customHeight="1">
      <c r="D42" s="461" t="s">
        <v>3212</v>
      </c>
      <c r="E42" s="458" t="s">
        <v>1239</v>
      </c>
      <c r="F42" s="461"/>
      <c r="H42" s="1099" t="s">
        <v>3935</v>
      </c>
      <c r="I42" s="1100"/>
      <c r="J42" s="1100"/>
      <c r="K42" s="1100"/>
      <c r="L42" s="1100"/>
      <c r="M42" s="1100"/>
      <c r="N42" s="1101"/>
      <c r="O42" s="713" t="s">
        <v>3065</v>
      </c>
      <c r="P42" s="713"/>
      <c r="Q42" s="1096" t="s">
        <v>3936</v>
      </c>
      <c r="R42" s="1097"/>
      <c r="S42" s="1098"/>
    </row>
    <row r="43" spans="3:19" s="458" customFormat="1" ht="12.6" customHeight="1">
      <c r="D43" s="508"/>
      <c r="E43" s="464" t="s">
        <v>1640</v>
      </c>
      <c r="F43" s="472"/>
      <c r="H43" s="1099" t="s">
        <v>4036</v>
      </c>
      <c r="I43" s="1100"/>
      <c r="J43" s="1100"/>
      <c r="K43" s="1100"/>
      <c r="L43" s="1100"/>
      <c r="M43" s="1100"/>
      <c r="N43" s="1101"/>
      <c r="O43" s="713" t="s">
        <v>2774</v>
      </c>
      <c r="Q43" s="1096" t="s">
        <v>3937</v>
      </c>
      <c r="R43" s="1097"/>
      <c r="S43" s="1098"/>
    </row>
    <row r="44" spans="3:19" s="458" customFormat="1" ht="12.6" customHeight="1">
      <c r="D44" s="508"/>
      <c r="E44" s="464" t="s">
        <v>952</v>
      </c>
      <c r="H44" s="956" t="s">
        <v>3939</v>
      </c>
      <c r="I44" s="1052"/>
      <c r="J44" s="1053"/>
      <c r="O44" s="713" t="s">
        <v>2833</v>
      </c>
      <c r="Q44" s="1238">
        <v>7704870555</v>
      </c>
      <c r="R44" s="1239"/>
      <c r="S44" s="1240"/>
    </row>
    <row r="45" spans="3:19" s="458" customFormat="1" ht="12.6" customHeight="1">
      <c r="D45" s="461"/>
      <c r="E45" s="464" t="s">
        <v>2829</v>
      </c>
      <c r="H45" s="877" t="s">
        <v>1437</v>
      </c>
      <c r="I45" s="493" t="s">
        <v>3352</v>
      </c>
      <c r="J45" s="986">
        <v>302691530</v>
      </c>
      <c r="K45" s="1053"/>
      <c r="O45" s="713" t="s">
        <v>3054</v>
      </c>
      <c r="Q45" s="1238">
        <v>7702805165</v>
      </c>
      <c r="R45" s="1239"/>
      <c r="S45" s="1240"/>
    </row>
    <row r="46" spans="3:19" s="458" customFormat="1" ht="12.6" customHeight="1">
      <c r="D46" s="508"/>
      <c r="E46" s="464" t="s">
        <v>3060</v>
      </c>
      <c r="H46" s="948">
        <v>7704870555</v>
      </c>
      <c r="I46" s="950"/>
      <c r="J46" s="883"/>
      <c r="K46" s="719" t="s">
        <v>2832</v>
      </c>
      <c r="L46" s="977">
        <v>6783649958</v>
      </c>
      <c r="M46" s="1053"/>
      <c r="N46" s="466" t="s">
        <v>3059</v>
      </c>
      <c r="O46" s="1244" t="s">
        <v>3938</v>
      </c>
      <c r="P46" s="1245"/>
      <c r="Q46" s="1245"/>
      <c r="R46" s="1245"/>
      <c r="S46" s="1246"/>
    </row>
    <row r="47" spans="3:19" s="458" customFormat="1" ht="4.2" customHeight="1">
      <c r="D47" s="508"/>
      <c r="E47" s="464"/>
      <c r="F47" s="461"/>
      <c r="H47" s="501"/>
      <c r="I47" s="501"/>
      <c r="J47" s="887"/>
      <c r="K47" s="719"/>
      <c r="L47" s="501"/>
      <c r="M47" s="501"/>
      <c r="N47" s="719"/>
      <c r="O47" s="501"/>
      <c r="P47" s="501"/>
      <c r="Q47" s="719"/>
      <c r="R47" s="501"/>
      <c r="S47" s="501"/>
    </row>
    <row r="48" spans="3:19" s="458" customFormat="1" ht="13.2" customHeight="1">
      <c r="C48" s="512" t="s">
        <v>3821</v>
      </c>
      <c r="D48" s="506" t="s">
        <v>993</v>
      </c>
      <c r="H48" s="721"/>
      <c r="I48" s="721"/>
      <c r="J48" s="721"/>
      <c r="K48" s="721"/>
      <c r="L48" s="721"/>
      <c r="M48" s="721"/>
    </row>
    <row r="49" spans="1:19" s="458" customFormat="1" ht="4.2" customHeight="1">
      <c r="D49" s="512"/>
      <c r="E49" s="511"/>
      <c r="H49" s="884"/>
      <c r="I49" s="884"/>
      <c r="J49" s="884"/>
      <c r="K49" s="717"/>
      <c r="L49" s="884"/>
      <c r="M49" s="884"/>
      <c r="N49" s="717"/>
      <c r="O49" s="885"/>
      <c r="P49" s="885"/>
      <c r="Q49" s="719"/>
      <c r="R49" s="885"/>
      <c r="S49" s="885"/>
    </row>
    <row r="50" spans="1:19" s="458" customFormat="1" ht="12.6" customHeight="1">
      <c r="E50" s="458" t="s">
        <v>103</v>
      </c>
      <c r="H50" s="956"/>
      <c r="I50" s="1052"/>
      <c r="J50" s="1052"/>
      <c r="K50" s="1052"/>
      <c r="L50" s="1052"/>
      <c r="M50" s="1052"/>
      <c r="N50" s="1053"/>
      <c r="O50" s="713" t="s">
        <v>3065</v>
      </c>
      <c r="P50" s="713"/>
      <c r="Q50" s="956"/>
      <c r="R50" s="1052"/>
      <c r="S50" s="1053"/>
    </row>
    <row r="51" spans="1:19" s="458" customFormat="1" ht="12.6" customHeight="1">
      <c r="D51" s="508"/>
      <c r="E51" s="464" t="s">
        <v>1640</v>
      </c>
      <c r="F51" s="472"/>
      <c r="H51" s="956"/>
      <c r="I51" s="1052"/>
      <c r="J51" s="1052"/>
      <c r="K51" s="1052"/>
      <c r="L51" s="1052"/>
      <c r="M51" s="1052"/>
      <c r="N51" s="1053"/>
      <c r="O51" s="713" t="s">
        <v>2774</v>
      </c>
      <c r="Q51" s="956"/>
      <c r="R51" s="1052"/>
      <c r="S51" s="1053"/>
    </row>
    <row r="52" spans="1:19" s="458" customFormat="1" ht="12.6" customHeight="1">
      <c r="D52" s="508"/>
      <c r="E52" s="464" t="s">
        <v>952</v>
      </c>
      <c r="H52" s="956"/>
      <c r="I52" s="1052"/>
      <c r="J52" s="1053"/>
      <c r="O52" s="713" t="s">
        <v>2833</v>
      </c>
      <c r="Q52" s="948"/>
      <c r="R52" s="949"/>
      <c r="S52" s="950"/>
    </row>
    <row r="53" spans="1:19" s="458" customFormat="1" ht="12.6" customHeight="1">
      <c r="E53" s="464" t="s">
        <v>2829</v>
      </c>
      <c r="H53" s="877"/>
      <c r="I53" s="493" t="s">
        <v>3352</v>
      </c>
      <c r="J53" s="986"/>
      <c r="K53" s="1053"/>
      <c r="O53" s="713" t="s">
        <v>3054</v>
      </c>
      <c r="Q53" s="948"/>
      <c r="R53" s="949"/>
      <c r="S53" s="950"/>
    </row>
    <row r="54" spans="1:19" s="458" customFormat="1" ht="12.6" customHeight="1">
      <c r="D54" s="508"/>
      <c r="E54" s="464" t="s">
        <v>3060</v>
      </c>
      <c r="H54" s="948"/>
      <c r="I54" s="950"/>
      <c r="J54" s="883"/>
      <c r="K54" s="719" t="s">
        <v>2832</v>
      </c>
      <c r="L54" s="977"/>
      <c r="M54" s="1053"/>
      <c r="N54" s="466" t="s">
        <v>3059</v>
      </c>
      <c r="O54" s="961"/>
      <c r="P54" s="962"/>
      <c r="Q54" s="962"/>
      <c r="R54" s="962"/>
      <c r="S54" s="963"/>
    </row>
    <row r="55" spans="1:19" ht="13.2" customHeight="1"/>
    <row r="56" spans="1:19" s="458" customFormat="1" ht="13.2" customHeight="1">
      <c r="A56" s="461" t="s">
        <v>1228</v>
      </c>
      <c r="B56" s="461" t="s">
        <v>994</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884"/>
      <c r="I57" s="884"/>
      <c r="J57" s="884"/>
      <c r="K57" s="717"/>
      <c r="L57" s="884"/>
      <c r="M57" s="884"/>
      <c r="N57" s="717"/>
      <c r="O57" s="885"/>
      <c r="P57" s="885"/>
      <c r="Q57" s="719"/>
      <c r="R57" s="885"/>
      <c r="S57" s="885"/>
    </row>
    <row r="58" spans="1:19" s="458" customFormat="1" ht="13.2" customHeight="1">
      <c r="B58" s="461" t="s">
        <v>3058</v>
      </c>
      <c r="C58" s="461" t="s">
        <v>375</v>
      </c>
      <c r="H58" s="1247" t="s">
        <v>4037</v>
      </c>
      <c r="I58" s="1248"/>
      <c r="J58" s="1248"/>
      <c r="K58" s="1248"/>
      <c r="L58" s="1248"/>
      <c r="M58" s="1248"/>
      <c r="N58" s="1249"/>
      <c r="O58" s="713" t="s">
        <v>3065</v>
      </c>
      <c r="P58" s="713"/>
      <c r="Q58" s="1250" t="s">
        <v>3924</v>
      </c>
      <c r="R58" s="1251"/>
      <c r="S58" s="1252"/>
    </row>
    <row r="59" spans="1:19" s="458" customFormat="1" ht="13.2" customHeight="1">
      <c r="D59" s="508"/>
      <c r="E59" s="464" t="s">
        <v>1640</v>
      </c>
      <c r="F59" s="472"/>
      <c r="H59" s="956" t="s">
        <v>4040</v>
      </c>
      <c r="I59" s="1052"/>
      <c r="J59" s="1052"/>
      <c r="K59" s="1052"/>
      <c r="L59" s="1052"/>
      <c r="M59" s="1052"/>
      <c r="N59" s="1053"/>
      <c r="O59" s="713" t="s">
        <v>2774</v>
      </c>
      <c r="Q59" s="1250" t="s">
        <v>3925</v>
      </c>
      <c r="R59" s="1251"/>
      <c r="S59" s="1252"/>
    </row>
    <row r="60" spans="1:19" s="458" customFormat="1" ht="13.2" customHeight="1">
      <c r="D60" s="508"/>
      <c r="E60" s="464" t="s">
        <v>952</v>
      </c>
      <c r="H60" s="956" t="s">
        <v>1865</v>
      </c>
      <c r="I60" s="1052"/>
      <c r="J60" s="1053"/>
      <c r="O60" s="713" t="s">
        <v>2833</v>
      </c>
      <c r="Q60" s="1105">
        <v>4049493873</v>
      </c>
      <c r="R60" s="1106"/>
      <c r="S60" s="1107"/>
    </row>
    <row r="61" spans="1:19" s="458" customFormat="1" ht="13.2" customHeight="1">
      <c r="E61" s="464" t="s">
        <v>2829</v>
      </c>
      <c r="H61" s="877" t="s">
        <v>1437</v>
      </c>
      <c r="I61" s="493" t="s">
        <v>3352</v>
      </c>
      <c r="J61" s="986">
        <v>303272800</v>
      </c>
      <c r="K61" s="1053"/>
      <c r="O61" s="713" t="s">
        <v>3054</v>
      </c>
      <c r="Q61" s="1105">
        <v>7708619049</v>
      </c>
      <c r="R61" s="1106"/>
      <c r="S61" s="1107"/>
    </row>
    <row r="62" spans="1:19" s="458" customFormat="1" ht="13.2" customHeight="1">
      <c r="D62" s="508"/>
      <c r="E62" s="464" t="s">
        <v>3060</v>
      </c>
      <c r="H62" s="948">
        <v>4049493873</v>
      </c>
      <c r="I62" s="950"/>
      <c r="J62" s="883"/>
      <c r="K62" s="719" t="s">
        <v>2832</v>
      </c>
      <c r="L62" s="977">
        <v>4049493880</v>
      </c>
      <c r="M62" s="1053"/>
      <c r="N62" s="466" t="s">
        <v>3059</v>
      </c>
      <c r="O62" s="1102" t="s">
        <v>3926</v>
      </c>
      <c r="P62" s="1103"/>
      <c r="Q62" s="1103"/>
      <c r="R62" s="1103"/>
      <c r="S62" s="1104"/>
    </row>
    <row r="63" spans="1:19" s="458" customFormat="1" ht="6.6" customHeight="1">
      <c r="D63" s="508"/>
      <c r="E63" s="721"/>
      <c r="F63" s="721"/>
      <c r="G63" s="713"/>
      <c r="H63" s="886"/>
      <c r="I63" s="886"/>
      <c r="J63" s="886"/>
      <c r="K63" s="719"/>
      <c r="L63" s="886"/>
      <c r="M63" s="886"/>
      <c r="N63" s="717"/>
      <c r="O63" s="885"/>
      <c r="P63" s="885"/>
      <c r="Q63" s="719"/>
      <c r="R63" s="885"/>
      <c r="S63" s="885"/>
    </row>
    <row r="64" spans="1:19" s="458" customFormat="1" ht="13.2" customHeight="1">
      <c r="B64" s="461" t="s">
        <v>3061</v>
      </c>
      <c r="C64" s="461" t="s">
        <v>376</v>
      </c>
      <c r="H64" s="956"/>
      <c r="I64" s="1052"/>
      <c r="J64" s="1052"/>
      <c r="K64" s="1052"/>
      <c r="L64" s="1052"/>
      <c r="M64" s="1052"/>
      <c r="N64" s="1053"/>
      <c r="O64" s="713" t="s">
        <v>3065</v>
      </c>
      <c r="P64" s="713"/>
      <c r="Q64" s="956"/>
      <c r="R64" s="1052"/>
      <c r="S64" s="1053"/>
    </row>
    <row r="65" spans="2:19" s="458" customFormat="1" ht="13.2" customHeight="1">
      <c r="D65" s="508"/>
      <c r="E65" s="464" t="s">
        <v>1640</v>
      </c>
      <c r="F65" s="472"/>
      <c r="H65" s="956"/>
      <c r="I65" s="1052"/>
      <c r="J65" s="1052"/>
      <c r="K65" s="1052"/>
      <c r="L65" s="1052"/>
      <c r="M65" s="1052"/>
      <c r="N65" s="1053"/>
      <c r="O65" s="713" t="s">
        <v>2774</v>
      </c>
      <c r="Q65" s="956"/>
      <c r="R65" s="1052"/>
      <c r="S65" s="1053"/>
    </row>
    <row r="66" spans="2:19" s="458" customFormat="1" ht="13.2" customHeight="1">
      <c r="D66" s="508"/>
      <c r="E66" s="464" t="s">
        <v>952</v>
      </c>
      <c r="H66" s="956"/>
      <c r="I66" s="1052"/>
      <c r="J66" s="1053"/>
      <c r="O66" s="713" t="s">
        <v>2833</v>
      </c>
      <c r="Q66" s="948"/>
      <c r="R66" s="949"/>
      <c r="S66" s="950"/>
    </row>
    <row r="67" spans="2:19" s="458" customFormat="1" ht="13.2" customHeight="1">
      <c r="E67" s="464" t="s">
        <v>2829</v>
      </c>
      <c r="H67" s="877"/>
      <c r="I67" s="493" t="s">
        <v>3352</v>
      </c>
      <c r="J67" s="986"/>
      <c r="K67" s="1053"/>
      <c r="O67" s="713" t="s">
        <v>3054</v>
      </c>
      <c r="Q67" s="948"/>
      <c r="R67" s="949"/>
      <c r="S67" s="950"/>
    </row>
    <row r="68" spans="2:19" s="458" customFormat="1" ht="13.2" customHeight="1">
      <c r="D68" s="508"/>
      <c r="E68" s="464" t="s">
        <v>3060</v>
      </c>
      <c r="H68" s="948"/>
      <c r="I68" s="950"/>
      <c r="J68" s="883"/>
      <c r="K68" s="719" t="s">
        <v>2832</v>
      </c>
      <c r="L68" s="977"/>
      <c r="M68" s="1053"/>
      <c r="N68" s="466" t="s">
        <v>3059</v>
      </c>
      <c r="O68" s="961"/>
      <c r="P68" s="962"/>
      <c r="Q68" s="962"/>
      <c r="R68" s="962"/>
      <c r="S68" s="963"/>
    </row>
    <row r="69" spans="2:19" s="458" customFormat="1" ht="6.6" customHeight="1">
      <c r="D69" s="508"/>
      <c r="E69" s="721"/>
      <c r="F69" s="721"/>
      <c r="G69" s="713"/>
      <c r="H69" s="886"/>
      <c r="I69" s="886"/>
      <c r="J69" s="886"/>
      <c r="K69" s="719"/>
      <c r="L69" s="886"/>
      <c r="M69" s="886"/>
      <c r="N69" s="717"/>
      <c r="O69" s="885"/>
      <c r="P69" s="885"/>
      <c r="Q69" s="719"/>
      <c r="R69" s="885"/>
      <c r="S69" s="885"/>
    </row>
    <row r="70" spans="2:19" s="458" customFormat="1" ht="13.2" customHeight="1">
      <c r="B70" s="461" t="s">
        <v>1237</v>
      </c>
      <c r="C70" s="461" t="s">
        <v>2278</v>
      </c>
      <c r="H70" s="956"/>
      <c r="I70" s="1052"/>
      <c r="J70" s="1052"/>
      <c r="K70" s="1052"/>
      <c r="L70" s="1052"/>
      <c r="M70" s="1052"/>
      <c r="N70" s="1053"/>
      <c r="O70" s="713" t="s">
        <v>3065</v>
      </c>
      <c r="P70" s="713"/>
      <c r="Q70" s="956"/>
      <c r="R70" s="1052"/>
      <c r="S70" s="1053"/>
    </row>
    <row r="71" spans="2:19" s="458" customFormat="1" ht="13.2" customHeight="1">
      <c r="D71" s="508"/>
      <c r="E71" s="464" t="s">
        <v>1640</v>
      </c>
      <c r="F71" s="472"/>
      <c r="H71" s="956"/>
      <c r="I71" s="1052"/>
      <c r="J71" s="1052"/>
      <c r="K71" s="1052"/>
      <c r="L71" s="1052"/>
      <c r="M71" s="1052"/>
      <c r="N71" s="1053"/>
      <c r="O71" s="713" t="s">
        <v>2774</v>
      </c>
      <c r="Q71" s="956"/>
      <c r="R71" s="1052"/>
      <c r="S71" s="1053"/>
    </row>
    <row r="72" spans="2:19" s="458" customFormat="1" ht="13.2" customHeight="1">
      <c r="D72" s="508"/>
      <c r="E72" s="464" t="s">
        <v>952</v>
      </c>
      <c r="H72" s="956"/>
      <c r="I72" s="1052"/>
      <c r="J72" s="1053"/>
      <c r="O72" s="713" t="s">
        <v>2833</v>
      </c>
      <c r="Q72" s="948"/>
      <c r="R72" s="949"/>
      <c r="S72" s="950"/>
    </row>
    <row r="73" spans="2:19" s="458" customFormat="1" ht="13.2" customHeight="1">
      <c r="E73" s="464" t="s">
        <v>2829</v>
      </c>
      <c r="H73" s="877"/>
      <c r="I73" s="493" t="s">
        <v>3352</v>
      </c>
      <c r="J73" s="986"/>
      <c r="K73" s="1053"/>
      <c r="O73" s="713" t="s">
        <v>3054</v>
      </c>
      <c r="Q73" s="948"/>
      <c r="R73" s="949"/>
      <c r="S73" s="950"/>
    </row>
    <row r="74" spans="2:19" s="458" customFormat="1" ht="13.2" customHeight="1">
      <c r="D74" s="508"/>
      <c r="E74" s="464" t="s">
        <v>3060</v>
      </c>
      <c r="H74" s="948"/>
      <c r="I74" s="950"/>
      <c r="J74" s="883"/>
      <c r="K74" s="719" t="s">
        <v>2832</v>
      </c>
      <c r="L74" s="977"/>
      <c r="M74" s="1053"/>
      <c r="N74" s="466" t="s">
        <v>3059</v>
      </c>
      <c r="O74" s="961"/>
      <c r="P74" s="962"/>
      <c r="Q74" s="962"/>
      <c r="R74" s="962"/>
      <c r="S74" s="963"/>
    </row>
    <row r="75" spans="2:19" ht="6.6" customHeight="1">
      <c r="H75" s="886"/>
      <c r="I75" s="886"/>
      <c r="J75" s="886"/>
      <c r="K75" s="719"/>
      <c r="L75" s="886"/>
      <c r="M75" s="886"/>
      <c r="N75" s="717"/>
      <c r="O75" s="885"/>
      <c r="P75" s="885"/>
      <c r="Q75" s="719"/>
      <c r="R75" s="885"/>
      <c r="S75" s="885"/>
    </row>
    <row r="76" spans="2:19" s="458" customFormat="1" ht="13.2" customHeight="1">
      <c r="B76" s="461" t="s">
        <v>3210</v>
      </c>
      <c r="C76" s="461" t="s">
        <v>377</v>
      </c>
      <c r="H76" s="1108" t="s">
        <v>3931</v>
      </c>
      <c r="I76" s="1109"/>
      <c r="J76" s="1109"/>
      <c r="K76" s="1109"/>
      <c r="L76" s="1109"/>
      <c r="M76" s="1109"/>
      <c r="N76" s="1110"/>
      <c r="O76" s="713" t="s">
        <v>3065</v>
      </c>
      <c r="P76" s="713"/>
      <c r="Q76" s="1114" t="s">
        <v>3931</v>
      </c>
      <c r="R76" s="1115"/>
      <c r="S76" s="1116"/>
    </row>
    <row r="77" spans="2:19" s="458" customFormat="1" ht="13.2" customHeight="1">
      <c r="D77" s="508"/>
      <c r="E77" s="464" t="s">
        <v>1640</v>
      </c>
      <c r="F77" s="472"/>
      <c r="H77" s="1108" t="s">
        <v>3940</v>
      </c>
      <c r="I77" s="1109"/>
      <c r="J77" s="1109"/>
      <c r="K77" s="1109"/>
      <c r="L77" s="1109"/>
      <c r="M77" s="1109"/>
      <c r="N77" s="1110"/>
      <c r="O77" s="713" t="s">
        <v>2774</v>
      </c>
      <c r="Q77" s="1114" t="s">
        <v>3941</v>
      </c>
      <c r="R77" s="1115"/>
      <c r="S77" s="1116"/>
    </row>
    <row r="78" spans="2:19" s="458" customFormat="1" ht="13.2" customHeight="1">
      <c r="D78" s="508"/>
      <c r="E78" s="464" t="s">
        <v>952</v>
      </c>
      <c r="H78" s="956" t="s">
        <v>1865</v>
      </c>
      <c r="I78" s="1052"/>
      <c r="J78" s="1053"/>
      <c r="O78" s="713" t="s">
        <v>2833</v>
      </c>
      <c r="Q78" s="1111">
        <v>7709842100</v>
      </c>
      <c r="R78" s="1112"/>
      <c r="S78" s="1113"/>
    </row>
    <row r="79" spans="2:19" s="458" customFormat="1" ht="13.2" customHeight="1">
      <c r="E79" s="464" t="s">
        <v>2829</v>
      </c>
      <c r="H79" s="877" t="s">
        <v>1437</v>
      </c>
      <c r="I79" s="493" t="s">
        <v>3352</v>
      </c>
      <c r="J79" s="986">
        <v>303395704</v>
      </c>
      <c r="K79" s="1053"/>
      <c r="O79" s="713" t="s">
        <v>3054</v>
      </c>
      <c r="Q79" s="1111">
        <v>4042340004</v>
      </c>
      <c r="R79" s="1112"/>
      <c r="S79" s="1113"/>
    </row>
    <row r="80" spans="2:19" s="458" customFormat="1" ht="13.2" customHeight="1">
      <c r="D80" s="508"/>
      <c r="E80" s="464" t="s">
        <v>3060</v>
      </c>
      <c r="H80" s="948">
        <v>7709842100</v>
      </c>
      <c r="I80" s="950"/>
      <c r="J80" s="883">
        <v>107</v>
      </c>
      <c r="K80" s="719" t="s">
        <v>2832</v>
      </c>
      <c r="L80" s="977">
        <v>7709801380</v>
      </c>
      <c r="M80" s="1053"/>
      <c r="N80" s="466" t="s">
        <v>3059</v>
      </c>
      <c r="O80" s="1117" t="s">
        <v>3942</v>
      </c>
      <c r="P80" s="1118"/>
      <c r="Q80" s="1118"/>
      <c r="R80" s="1118"/>
      <c r="S80" s="1119"/>
    </row>
    <row r="81" spans="1:19" ht="13.2" customHeight="1"/>
    <row r="82" spans="1:19" s="464" customFormat="1" ht="13.2" customHeight="1">
      <c r="A82" s="465" t="s">
        <v>1230</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884"/>
      <c r="I83" s="884"/>
      <c r="J83" s="884"/>
      <c r="K83" s="717"/>
      <c r="L83" s="884"/>
      <c r="M83" s="884"/>
      <c r="N83" s="717"/>
      <c r="O83" s="885"/>
      <c r="P83" s="885"/>
      <c r="Q83" s="719"/>
      <c r="R83" s="885"/>
      <c r="S83" s="885"/>
    </row>
    <row r="84" spans="1:19" s="458" customFormat="1" ht="13.2" customHeight="1">
      <c r="B84" s="461" t="s">
        <v>3058</v>
      </c>
      <c r="C84" s="461" t="s">
        <v>379</v>
      </c>
      <c r="H84" s="956"/>
      <c r="I84" s="1052"/>
      <c r="J84" s="1052"/>
      <c r="K84" s="1052"/>
      <c r="L84" s="1052"/>
      <c r="M84" s="1052"/>
      <c r="N84" s="1053"/>
      <c r="O84" s="713" t="s">
        <v>3065</v>
      </c>
      <c r="P84" s="713"/>
      <c r="Q84" s="956"/>
      <c r="R84" s="1052"/>
      <c r="S84" s="1053"/>
    </row>
    <row r="85" spans="1:19" s="458" customFormat="1" ht="13.2" customHeight="1">
      <c r="D85" s="508"/>
      <c r="E85" s="464" t="s">
        <v>1640</v>
      </c>
      <c r="F85" s="472"/>
      <c r="H85" s="956"/>
      <c r="I85" s="1052"/>
      <c r="J85" s="1052"/>
      <c r="K85" s="1052"/>
      <c r="L85" s="1052"/>
      <c r="M85" s="1052"/>
      <c r="N85" s="1053"/>
      <c r="O85" s="713" t="s">
        <v>2774</v>
      </c>
      <c r="Q85" s="956"/>
      <c r="R85" s="1052"/>
      <c r="S85" s="1053"/>
    </row>
    <row r="86" spans="1:19" s="458" customFormat="1" ht="13.2" customHeight="1">
      <c r="D86" s="508"/>
      <c r="E86" s="464" t="s">
        <v>952</v>
      </c>
      <c r="H86" s="956"/>
      <c r="I86" s="1052"/>
      <c r="J86" s="1053"/>
      <c r="O86" s="713" t="s">
        <v>2833</v>
      </c>
      <c r="Q86" s="948"/>
      <c r="R86" s="949"/>
      <c r="S86" s="950"/>
    </row>
    <row r="87" spans="1:19" s="458" customFormat="1" ht="13.2" customHeight="1">
      <c r="E87" s="464" t="s">
        <v>2829</v>
      </c>
      <c r="H87" s="877"/>
      <c r="I87" s="493" t="s">
        <v>3352</v>
      </c>
      <c r="J87" s="986"/>
      <c r="K87" s="1053"/>
      <c r="O87" s="713" t="s">
        <v>3054</v>
      </c>
      <c r="Q87" s="948"/>
      <c r="R87" s="949"/>
      <c r="S87" s="950"/>
    </row>
    <row r="88" spans="1:19" s="458" customFormat="1" ht="13.2" customHeight="1">
      <c r="D88" s="508"/>
      <c r="E88" s="464" t="s">
        <v>3060</v>
      </c>
      <c r="H88" s="948"/>
      <c r="I88" s="950"/>
      <c r="J88" s="883"/>
      <c r="K88" s="719" t="s">
        <v>2832</v>
      </c>
      <c r="L88" s="977"/>
      <c r="M88" s="1053"/>
      <c r="N88" s="466" t="s">
        <v>3059</v>
      </c>
      <c r="O88" s="961"/>
      <c r="P88" s="962"/>
      <c r="Q88" s="962"/>
      <c r="R88" s="962"/>
      <c r="S88" s="963"/>
    </row>
    <row r="89" spans="1:19" ht="6.6" customHeight="1">
      <c r="H89" s="886"/>
      <c r="I89" s="886"/>
      <c r="J89" s="886"/>
      <c r="K89" s="719"/>
      <c r="L89" s="886"/>
      <c r="M89" s="886"/>
      <c r="N89" s="717"/>
      <c r="O89" s="885"/>
      <c r="P89" s="885"/>
      <c r="Q89" s="719"/>
      <c r="R89" s="885"/>
      <c r="S89" s="885"/>
    </row>
    <row r="90" spans="1:19" s="458" customFormat="1" ht="13.2" customHeight="1">
      <c r="B90" s="461" t="s">
        <v>3061</v>
      </c>
      <c r="C90" s="461" t="s">
        <v>380</v>
      </c>
      <c r="H90" s="1120" t="s">
        <v>3943</v>
      </c>
      <c r="I90" s="1121"/>
      <c r="J90" s="1121"/>
      <c r="K90" s="1121"/>
      <c r="L90" s="1121"/>
      <c r="M90" s="1121"/>
      <c r="N90" s="1122"/>
      <c r="O90" s="713" t="s">
        <v>3065</v>
      </c>
      <c r="P90" s="713"/>
      <c r="Q90" s="1126" t="s">
        <v>3944</v>
      </c>
      <c r="R90" s="1127"/>
      <c r="S90" s="1128"/>
    </row>
    <row r="91" spans="1:19" s="458" customFormat="1" ht="13.2" customHeight="1">
      <c r="D91" s="508"/>
      <c r="E91" s="464" t="s">
        <v>1640</v>
      </c>
      <c r="F91" s="472"/>
      <c r="H91" s="1120" t="s">
        <v>4043</v>
      </c>
      <c r="I91" s="1121"/>
      <c r="J91" s="1121"/>
      <c r="K91" s="1121"/>
      <c r="L91" s="1121"/>
      <c r="M91" s="1121"/>
      <c r="N91" s="1122"/>
      <c r="O91" s="713" t="s">
        <v>2774</v>
      </c>
      <c r="Q91" s="1126" t="s">
        <v>3945</v>
      </c>
      <c r="R91" s="1127"/>
      <c r="S91" s="1128"/>
    </row>
    <row r="92" spans="1:19" s="458" customFormat="1" ht="13.2" customHeight="1">
      <c r="D92" s="508"/>
      <c r="E92" s="464" t="s">
        <v>952</v>
      </c>
      <c r="H92" s="956" t="s">
        <v>660</v>
      </c>
      <c r="I92" s="1052"/>
      <c r="J92" s="1053"/>
      <c r="O92" s="713" t="s">
        <v>2833</v>
      </c>
      <c r="Q92" s="1123">
        <v>7705870157</v>
      </c>
      <c r="R92" s="1124"/>
      <c r="S92" s="1125"/>
    </row>
    <row r="93" spans="1:19" s="458" customFormat="1" ht="13.2" customHeight="1">
      <c r="E93" s="464" t="s">
        <v>2829</v>
      </c>
      <c r="H93" s="877" t="s">
        <v>1437</v>
      </c>
      <c r="I93" s="493" t="s">
        <v>3352</v>
      </c>
      <c r="J93" s="986">
        <v>300055498</v>
      </c>
      <c r="K93" s="1053"/>
      <c r="O93" s="713" t="s">
        <v>3054</v>
      </c>
      <c r="Q93" s="1123">
        <v>4043761063</v>
      </c>
      <c r="R93" s="1124"/>
      <c r="S93" s="1125"/>
    </row>
    <row r="94" spans="1:19" s="458" customFormat="1" ht="13.2" customHeight="1">
      <c r="D94" s="508"/>
      <c r="E94" s="464" t="s">
        <v>3060</v>
      </c>
      <c r="H94" s="948">
        <v>7705870157</v>
      </c>
      <c r="I94" s="950"/>
      <c r="J94" s="883"/>
      <c r="K94" s="719" t="s">
        <v>2832</v>
      </c>
      <c r="L94" s="977">
        <v>7706452519</v>
      </c>
      <c r="M94" s="1053"/>
      <c r="N94" s="466" t="s">
        <v>3059</v>
      </c>
      <c r="O94" s="1129" t="s">
        <v>3946</v>
      </c>
      <c r="P94" s="1130"/>
      <c r="Q94" s="1130"/>
      <c r="R94" s="1130"/>
      <c r="S94" s="1131"/>
    </row>
    <row r="95" spans="1:19" ht="6.6" customHeight="1">
      <c r="H95" s="886"/>
      <c r="I95" s="886"/>
      <c r="J95" s="886"/>
      <c r="K95" s="719"/>
      <c r="L95" s="886"/>
      <c r="M95" s="886"/>
      <c r="N95" s="717"/>
      <c r="O95" s="885"/>
      <c r="P95" s="885"/>
      <c r="Q95" s="719"/>
      <c r="R95" s="885"/>
      <c r="S95" s="885"/>
    </row>
    <row r="96" spans="1:19" s="458" customFormat="1" ht="13.2" customHeight="1">
      <c r="B96" s="461" t="s">
        <v>1237</v>
      </c>
      <c r="C96" s="461" t="s">
        <v>381</v>
      </c>
      <c r="F96" s="482"/>
      <c r="H96" s="1132" t="s">
        <v>3947</v>
      </c>
      <c r="I96" s="1133"/>
      <c r="J96" s="1133"/>
      <c r="K96" s="1133"/>
      <c r="L96" s="1133"/>
      <c r="M96" s="1133"/>
      <c r="N96" s="1134"/>
      <c r="O96" s="713" t="s">
        <v>3065</v>
      </c>
      <c r="P96" s="713"/>
      <c r="Q96" s="1135" t="s">
        <v>3931</v>
      </c>
      <c r="R96" s="1136"/>
      <c r="S96" s="1137"/>
    </row>
    <row r="97" spans="2:19" s="458" customFormat="1" ht="13.2" customHeight="1">
      <c r="D97" s="508"/>
      <c r="E97" s="464" t="s">
        <v>1640</v>
      </c>
      <c r="F97" s="472"/>
      <c r="H97" s="1132" t="s">
        <v>3948</v>
      </c>
      <c r="I97" s="1133"/>
      <c r="J97" s="1133"/>
      <c r="K97" s="1133"/>
      <c r="L97" s="1133"/>
      <c r="M97" s="1133"/>
      <c r="N97" s="1134"/>
      <c r="O97" s="713" t="s">
        <v>2774</v>
      </c>
      <c r="Q97" s="1135" t="s">
        <v>3949</v>
      </c>
      <c r="R97" s="1136"/>
      <c r="S97" s="1137"/>
    </row>
    <row r="98" spans="2:19" s="458" customFormat="1" ht="13.2" customHeight="1">
      <c r="D98" s="508"/>
      <c r="E98" s="464" t="s">
        <v>952</v>
      </c>
      <c r="H98" s="956" t="s">
        <v>1865</v>
      </c>
      <c r="I98" s="1052"/>
      <c r="J98" s="1053"/>
      <c r="O98" s="713" t="s">
        <v>2833</v>
      </c>
      <c r="Q98" s="1138">
        <v>7709842100</v>
      </c>
      <c r="R98" s="1139"/>
      <c r="S98" s="1140"/>
    </row>
    <row r="99" spans="2:19" s="458" customFormat="1" ht="13.2" customHeight="1">
      <c r="D99" s="508"/>
      <c r="E99" s="464" t="s">
        <v>2829</v>
      </c>
      <c r="H99" s="877" t="s">
        <v>1437</v>
      </c>
      <c r="I99" s="493" t="s">
        <v>3352</v>
      </c>
      <c r="J99" s="986">
        <v>303395704</v>
      </c>
      <c r="K99" s="1053"/>
      <c r="O99" s="713" t="s">
        <v>3054</v>
      </c>
      <c r="Q99" s="1138">
        <v>4042340004</v>
      </c>
      <c r="R99" s="1139"/>
      <c r="S99" s="1140"/>
    </row>
    <row r="100" spans="2:19" s="458" customFormat="1" ht="13.2" customHeight="1">
      <c r="D100" s="508"/>
      <c r="E100" s="464" t="s">
        <v>3060</v>
      </c>
      <c r="H100" s="948">
        <v>7709842100</v>
      </c>
      <c r="I100" s="950"/>
      <c r="J100" s="883">
        <v>107</v>
      </c>
      <c r="K100" s="719" t="s">
        <v>2832</v>
      </c>
      <c r="L100" s="977">
        <v>7709801380</v>
      </c>
      <c r="M100" s="1053"/>
      <c r="N100" s="466" t="s">
        <v>3059</v>
      </c>
      <c r="O100" s="1141" t="s">
        <v>3942</v>
      </c>
      <c r="P100" s="1142"/>
      <c r="Q100" s="1142"/>
      <c r="R100" s="1142"/>
      <c r="S100" s="1143"/>
    </row>
    <row r="101" spans="2:19" ht="6.6" customHeight="1">
      <c r="H101" s="886"/>
      <c r="I101" s="886"/>
      <c r="J101" s="886"/>
      <c r="K101" s="719"/>
      <c r="L101" s="886"/>
      <c r="M101" s="886"/>
      <c r="N101" s="717"/>
      <c r="O101" s="885"/>
      <c r="P101" s="885"/>
      <c r="Q101" s="719"/>
      <c r="R101" s="885"/>
      <c r="S101" s="885"/>
    </row>
    <row r="102" spans="2:19" s="458" customFormat="1" ht="13.2" customHeight="1">
      <c r="B102" s="461" t="s">
        <v>3210</v>
      </c>
      <c r="C102" s="461" t="s">
        <v>382</v>
      </c>
      <c r="H102" s="1144" t="s">
        <v>3950</v>
      </c>
      <c r="I102" s="1145"/>
      <c r="J102" s="1145"/>
      <c r="K102" s="1145"/>
      <c r="L102" s="1145"/>
      <c r="M102" s="1145"/>
      <c r="N102" s="1146"/>
      <c r="O102" s="713" t="s">
        <v>3065</v>
      </c>
      <c r="P102" s="713"/>
      <c r="Q102" s="1147" t="s">
        <v>3952</v>
      </c>
      <c r="R102" s="1148"/>
      <c r="S102" s="1149"/>
    </row>
    <row r="103" spans="2:19" s="458" customFormat="1" ht="13.2" customHeight="1">
      <c r="D103" s="508"/>
      <c r="E103" s="464" t="s">
        <v>1640</v>
      </c>
      <c r="F103" s="472"/>
      <c r="H103" s="1144" t="s">
        <v>3951</v>
      </c>
      <c r="I103" s="1145"/>
      <c r="J103" s="1145"/>
      <c r="K103" s="1145"/>
      <c r="L103" s="1145"/>
      <c r="M103" s="1145"/>
      <c r="N103" s="1146"/>
      <c r="O103" s="713" t="s">
        <v>2774</v>
      </c>
      <c r="Q103" s="1147" t="s">
        <v>3925</v>
      </c>
      <c r="R103" s="1148"/>
      <c r="S103" s="1149"/>
    </row>
    <row r="104" spans="2:19" s="458" customFormat="1" ht="13.2" customHeight="1">
      <c r="D104" s="508"/>
      <c r="E104" s="464" t="s">
        <v>952</v>
      </c>
      <c r="H104" s="956" t="s">
        <v>1865</v>
      </c>
      <c r="I104" s="1052"/>
      <c r="J104" s="1053"/>
      <c r="O104" s="713" t="s">
        <v>2833</v>
      </c>
      <c r="Q104" s="1150">
        <v>7709842100</v>
      </c>
      <c r="R104" s="1151"/>
      <c r="S104" s="1152"/>
    </row>
    <row r="105" spans="2:19" s="458" customFormat="1" ht="13.2" customHeight="1">
      <c r="D105" s="508"/>
      <c r="E105" s="464" t="s">
        <v>2829</v>
      </c>
      <c r="H105" s="877" t="s">
        <v>1437</v>
      </c>
      <c r="I105" s="493" t="s">
        <v>3352</v>
      </c>
      <c r="J105" s="986">
        <v>303631031</v>
      </c>
      <c r="K105" s="1053"/>
      <c r="O105" s="713" t="s">
        <v>3054</v>
      </c>
      <c r="Q105" s="1150">
        <v>4042340004</v>
      </c>
      <c r="R105" s="1151"/>
      <c r="S105" s="1152"/>
    </row>
    <row r="106" spans="2:19" ht="13.2" customHeight="1">
      <c r="E106" s="464" t="s">
        <v>3060</v>
      </c>
      <c r="F106" s="458"/>
      <c r="G106" s="458"/>
      <c r="H106" s="948">
        <v>4048737014</v>
      </c>
      <c r="I106" s="950"/>
      <c r="J106" s="883"/>
      <c r="K106" s="719" t="s">
        <v>2832</v>
      </c>
      <c r="L106" s="977">
        <v>4048737015</v>
      </c>
      <c r="M106" s="1053"/>
      <c r="N106" s="466" t="s">
        <v>3059</v>
      </c>
      <c r="O106" s="1153" t="s">
        <v>3953</v>
      </c>
      <c r="P106" s="1154"/>
      <c r="Q106" s="1154"/>
      <c r="R106" s="1154"/>
      <c r="S106" s="1155"/>
    </row>
    <row r="107" spans="2:19" ht="6" customHeight="1">
      <c r="E107" s="464"/>
      <c r="F107" s="458"/>
      <c r="G107" s="458"/>
      <c r="H107" s="458"/>
      <c r="I107" s="458"/>
      <c r="J107" s="458"/>
      <c r="K107" s="458"/>
      <c r="L107" s="458"/>
      <c r="M107" s="458"/>
      <c r="N107" s="458"/>
      <c r="O107" s="458"/>
      <c r="P107" s="458"/>
      <c r="Q107" s="719"/>
      <c r="R107" s="719"/>
      <c r="S107" s="888"/>
    </row>
    <row r="108" spans="2:19" ht="0.6" customHeight="1">
      <c r="E108" s="464"/>
      <c r="F108" s="458"/>
      <c r="G108" s="721"/>
      <c r="H108" s="884"/>
      <c r="I108" s="884"/>
      <c r="J108" s="884"/>
      <c r="K108" s="717"/>
      <c r="L108" s="884"/>
      <c r="M108" s="884"/>
      <c r="N108" s="717"/>
      <c r="O108" s="885"/>
      <c r="P108" s="885"/>
      <c r="Q108" s="719"/>
      <c r="R108" s="885"/>
      <c r="S108" s="885"/>
    </row>
    <row r="109" spans="2:19" s="458" customFormat="1" ht="13.2" customHeight="1">
      <c r="B109" s="461" t="s">
        <v>2761</v>
      </c>
      <c r="C109" s="461" t="s">
        <v>383</v>
      </c>
      <c r="H109" s="1162" t="s">
        <v>3956</v>
      </c>
      <c r="I109" s="1163"/>
      <c r="J109" s="1163"/>
      <c r="K109" s="1163"/>
      <c r="L109" s="1163"/>
      <c r="M109" s="1163"/>
      <c r="N109" s="1164"/>
      <c r="O109" s="713" t="s">
        <v>3065</v>
      </c>
      <c r="P109" s="713"/>
      <c r="Q109" s="1159" t="s">
        <v>3954</v>
      </c>
      <c r="R109" s="1160"/>
      <c r="S109" s="1161"/>
    </row>
    <row r="110" spans="2:19" s="458" customFormat="1" ht="13.2" customHeight="1">
      <c r="D110" s="508"/>
      <c r="E110" s="464" t="s">
        <v>1640</v>
      </c>
      <c r="F110" s="472"/>
      <c r="H110" s="1162" t="s">
        <v>3957</v>
      </c>
      <c r="I110" s="1163"/>
      <c r="J110" s="1163"/>
      <c r="K110" s="1163"/>
      <c r="L110" s="1163"/>
      <c r="M110" s="1163"/>
      <c r="N110" s="1164"/>
      <c r="O110" s="713" t="s">
        <v>2774</v>
      </c>
      <c r="Q110" s="1159" t="s">
        <v>3745</v>
      </c>
      <c r="R110" s="1160"/>
      <c r="S110" s="1161"/>
    </row>
    <row r="111" spans="2:19" s="458" customFormat="1" ht="13.2" customHeight="1">
      <c r="D111" s="508"/>
      <c r="E111" s="464" t="s">
        <v>952</v>
      </c>
      <c r="H111" s="956" t="s">
        <v>1865</v>
      </c>
      <c r="I111" s="1052"/>
      <c r="J111" s="1053"/>
      <c r="O111" s="713" t="s">
        <v>2833</v>
      </c>
      <c r="Q111" s="1156">
        <v>4048479447</v>
      </c>
      <c r="R111" s="1157"/>
      <c r="S111" s="1158"/>
    </row>
    <row r="112" spans="2:19" s="458" customFormat="1" ht="13.2" customHeight="1">
      <c r="D112" s="508"/>
      <c r="E112" s="464" t="s">
        <v>2829</v>
      </c>
      <c r="H112" s="877" t="s">
        <v>1437</v>
      </c>
      <c r="I112" s="493" t="s">
        <v>3352</v>
      </c>
      <c r="J112" s="986">
        <v>303191497</v>
      </c>
      <c r="K112" s="1053"/>
      <c r="O112" s="713" t="s">
        <v>3054</v>
      </c>
      <c r="Q112" s="1156">
        <v>6785760400</v>
      </c>
      <c r="R112" s="1157"/>
      <c r="S112" s="1158"/>
    </row>
    <row r="113" spans="1:19" ht="13.2" customHeight="1">
      <c r="E113" s="464" t="s">
        <v>3060</v>
      </c>
      <c r="F113" s="458"/>
      <c r="G113" s="458"/>
      <c r="H113" s="948">
        <v>4048479447</v>
      </c>
      <c r="I113" s="950"/>
      <c r="J113" s="883">
        <v>236</v>
      </c>
      <c r="K113" s="719" t="s">
        <v>2832</v>
      </c>
      <c r="L113" s="977">
        <v>4048479495</v>
      </c>
      <c r="M113" s="1053"/>
      <c r="N113" s="466" t="s">
        <v>3059</v>
      </c>
      <c r="O113" s="1168" t="s">
        <v>3955</v>
      </c>
      <c r="P113" s="1169"/>
      <c r="Q113" s="1169"/>
      <c r="R113" s="1169"/>
      <c r="S113" s="1170"/>
    </row>
    <row r="114" spans="1:19" ht="6.6" customHeight="1">
      <c r="E114" s="464"/>
      <c r="F114" s="458"/>
      <c r="G114" s="721"/>
      <c r="H114" s="886"/>
      <c r="I114" s="886"/>
      <c r="J114" s="886"/>
      <c r="K114" s="719"/>
      <c r="L114" s="886"/>
      <c r="M114" s="886"/>
      <c r="N114" s="717"/>
      <c r="O114" s="885"/>
      <c r="P114" s="885"/>
      <c r="Q114" s="719"/>
      <c r="R114" s="885"/>
      <c r="S114" s="885"/>
    </row>
    <row r="115" spans="1:19" s="458" customFormat="1" ht="13.2" customHeight="1">
      <c r="B115" s="461" t="s">
        <v>2762</v>
      </c>
      <c r="C115" s="461" t="s">
        <v>384</v>
      </c>
      <c r="H115" s="1171" t="s">
        <v>3958</v>
      </c>
      <c r="I115" s="1172"/>
      <c r="J115" s="1172"/>
      <c r="K115" s="1172"/>
      <c r="L115" s="1172"/>
      <c r="M115" s="1172"/>
      <c r="N115" s="1173"/>
      <c r="O115" s="713" t="s">
        <v>3065</v>
      </c>
      <c r="P115" s="713"/>
      <c r="Q115" s="1174" t="s">
        <v>3960</v>
      </c>
      <c r="R115" s="1175"/>
      <c r="S115" s="1176"/>
    </row>
    <row r="116" spans="1:19" s="458" customFormat="1" ht="13.2" customHeight="1">
      <c r="D116" s="508"/>
      <c r="E116" s="464" t="s">
        <v>1640</v>
      </c>
      <c r="F116" s="472"/>
      <c r="H116" s="1171" t="s">
        <v>3959</v>
      </c>
      <c r="I116" s="1172"/>
      <c r="J116" s="1172"/>
      <c r="K116" s="1172"/>
      <c r="L116" s="1172"/>
      <c r="M116" s="1172"/>
      <c r="N116" s="1173"/>
      <c r="O116" s="713" t="s">
        <v>2774</v>
      </c>
      <c r="Q116" s="1174" t="s">
        <v>3961</v>
      </c>
      <c r="R116" s="1175"/>
      <c r="S116" s="1176"/>
    </row>
    <row r="117" spans="1:19" s="458" customFormat="1" ht="13.2" customHeight="1">
      <c r="D117" s="508"/>
      <c r="E117" s="464" t="s">
        <v>952</v>
      </c>
      <c r="H117" s="956" t="s">
        <v>2712</v>
      </c>
      <c r="I117" s="1052"/>
      <c r="J117" s="1053"/>
      <c r="O117" s="713" t="s">
        <v>2833</v>
      </c>
      <c r="Q117" s="1165">
        <v>2292423557</v>
      </c>
      <c r="R117" s="1166"/>
      <c r="S117" s="1167"/>
    </row>
    <row r="118" spans="1:19" s="458" customFormat="1" ht="13.2" customHeight="1">
      <c r="D118" s="513"/>
      <c r="E118" s="464" t="s">
        <v>2829</v>
      </c>
      <c r="H118" s="877" t="s">
        <v>1437</v>
      </c>
      <c r="I118" s="493" t="s">
        <v>3352</v>
      </c>
      <c r="J118" s="986">
        <v>316021393</v>
      </c>
      <c r="K118" s="1053"/>
      <c r="O118" s="713" t="s">
        <v>3054</v>
      </c>
      <c r="Q118" s="1165">
        <v>2295061807</v>
      </c>
      <c r="R118" s="1166"/>
      <c r="S118" s="1167"/>
    </row>
    <row r="119" spans="1:19" s="458" customFormat="1" ht="13.2" customHeight="1">
      <c r="D119" s="513"/>
      <c r="E119" s="464" t="s">
        <v>3060</v>
      </c>
      <c r="H119" s="948">
        <v>2292423557</v>
      </c>
      <c r="I119" s="950"/>
      <c r="J119" s="883"/>
      <c r="K119" s="719" t="s">
        <v>2832</v>
      </c>
      <c r="L119" s="977">
        <v>2292424339</v>
      </c>
      <c r="M119" s="1053"/>
      <c r="N119" s="466" t="s">
        <v>3059</v>
      </c>
      <c r="O119" s="1190" t="s">
        <v>3962</v>
      </c>
      <c r="P119" s="1191"/>
      <c r="Q119" s="1191"/>
      <c r="R119" s="1191"/>
      <c r="S119" s="1192"/>
    </row>
    <row r="120" spans="1:19" ht="13.2" customHeight="1"/>
    <row r="121" spans="1:19" s="458" customFormat="1" ht="13.2" customHeight="1">
      <c r="A121" s="461" t="s">
        <v>2822</v>
      </c>
      <c r="B121" s="461" t="s">
        <v>3917</v>
      </c>
      <c r="F121" s="461"/>
      <c r="G121" s="719"/>
      <c r="H121" s="719"/>
      <c r="I121" s="719"/>
      <c r="J121" s="719"/>
      <c r="K121" s="719"/>
      <c r="L121" s="719"/>
      <c r="M121" s="719"/>
      <c r="N121" s="719"/>
      <c r="O121" s="719"/>
      <c r="P121" s="719"/>
      <c r="Q121" s="715"/>
    </row>
    <row r="122" spans="1:19" s="458" customFormat="1" ht="6.6" customHeight="1">
      <c r="A122" s="461"/>
      <c r="B122" s="461"/>
      <c r="F122" s="461"/>
      <c r="G122" s="719"/>
      <c r="H122" s="719"/>
      <c r="I122" s="719"/>
      <c r="J122" s="719"/>
      <c r="K122" s="719"/>
      <c r="L122" s="719"/>
      <c r="M122" s="719"/>
      <c r="N122" s="719"/>
      <c r="O122" s="719"/>
      <c r="P122" s="719"/>
      <c r="Q122" s="715"/>
    </row>
    <row r="123" spans="1:19" s="458" customFormat="1" ht="21.6" customHeight="1">
      <c r="A123" s="1073" t="s">
        <v>975</v>
      </c>
      <c r="B123" s="1074"/>
      <c r="C123" s="1074"/>
      <c r="D123" s="1075"/>
      <c r="E123" s="1082" t="s">
        <v>3541</v>
      </c>
      <c r="F123" s="1193" t="s">
        <v>3534</v>
      </c>
      <c r="G123" s="1183" t="s">
        <v>3535</v>
      </c>
      <c r="H123" s="1197"/>
      <c r="I123" s="1198"/>
      <c r="J123" s="1183" t="s">
        <v>3536</v>
      </c>
      <c r="K123" s="1204"/>
      <c r="L123" s="1183" t="s">
        <v>3537</v>
      </c>
      <c r="M123" s="1209"/>
      <c r="N123" s="1183" t="s">
        <v>3538</v>
      </c>
      <c r="O123" s="1198"/>
      <c r="P123" s="1183" t="s">
        <v>3539</v>
      </c>
      <c r="Q123" s="1198"/>
      <c r="R123" s="1183" t="s">
        <v>3540</v>
      </c>
      <c r="S123" s="1184"/>
    </row>
    <row r="124" spans="1:19" s="458" customFormat="1" ht="21.6" customHeight="1">
      <c r="A124" s="1076"/>
      <c r="B124" s="1077"/>
      <c r="C124" s="1077"/>
      <c r="D124" s="1078"/>
      <c r="E124" s="1083"/>
      <c r="F124" s="1194"/>
      <c r="G124" s="1185"/>
      <c r="H124" s="1199"/>
      <c r="I124" s="1200"/>
      <c r="J124" s="1205"/>
      <c r="K124" s="1206"/>
      <c r="L124" s="1185"/>
      <c r="M124" s="1210"/>
      <c r="N124" s="1185"/>
      <c r="O124" s="1200"/>
      <c r="P124" s="1185"/>
      <c r="Q124" s="1200"/>
      <c r="R124" s="1185"/>
      <c r="S124" s="1186"/>
    </row>
    <row r="125" spans="1:19" s="458" customFormat="1" ht="21.6" customHeight="1">
      <c r="A125" s="1076"/>
      <c r="B125" s="1077"/>
      <c r="C125" s="1077"/>
      <c r="D125" s="1078"/>
      <c r="E125" s="1083"/>
      <c r="F125" s="1195"/>
      <c r="G125" s="1185"/>
      <c r="H125" s="1199"/>
      <c r="I125" s="1200"/>
      <c r="J125" s="1205"/>
      <c r="K125" s="1206"/>
      <c r="L125" s="1211"/>
      <c r="M125" s="1210"/>
      <c r="N125" s="1185"/>
      <c r="O125" s="1200"/>
      <c r="P125" s="1185"/>
      <c r="Q125" s="1200"/>
      <c r="R125" s="1187"/>
      <c r="S125" s="1186"/>
    </row>
    <row r="126" spans="1:19" s="458" customFormat="1" ht="21.6" customHeight="1">
      <c r="A126" s="1076"/>
      <c r="B126" s="1077"/>
      <c r="C126" s="1077"/>
      <c r="D126" s="1078"/>
      <c r="E126" s="1083"/>
      <c r="F126" s="1195"/>
      <c r="G126" s="1185"/>
      <c r="H126" s="1199"/>
      <c r="I126" s="1200"/>
      <c r="J126" s="1205"/>
      <c r="K126" s="1206"/>
      <c r="L126" s="1211"/>
      <c r="M126" s="1210"/>
      <c r="N126" s="1185"/>
      <c r="O126" s="1200"/>
      <c r="P126" s="1185"/>
      <c r="Q126" s="1200"/>
      <c r="R126" s="1187"/>
      <c r="S126" s="1186"/>
    </row>
    <row r="127" spans="1:19" s="458" customFormat="1" ht="21.6" customHeight="1">
      <c r="A127" s="1079"/>
      <c r="B127" s="1080"/>
      <c r="C127" s="1080"/>
      <c r="D127" s="1081"/>
      <c r="E127" s="1084"/>
      <c r="F127" s="1196"/>
      <c r="G127" s="1201"/>
      <c r="H127" s="1202"/>
      <c r="I127" s="1203"/>
      <c r="J127" s="1207"/>
      <c r="K127" s="1208"/>
      <c r="L127" s="1212"/>
      <c r="M127" s="1213"/>
      <c r="N127" s="1201"/>
      <c r="O127" s="1203"/>
      <c r="P127" s="1201"/>
      <c r="Q127" s="1203"/>
      <c r="R127" s="1188"/>
      <c r="S127" s="1189"/>
    </row>
    <row r="128" spans="1:19" s="458" customFormat="1" ht="13.95" customHeight="1">
      <c r="A128" s="723" t="s">
        <v>3533</v>
      </c>
      <c r="B128" s="724"/>
      <c r="C128" s="724"/>
      <c r="D128" s="725"/>
      <c r="E128" s="889" t="s">
        <v>3919</v>
      </c>
      <c r="F128" s="889"/>
      <c r="G128" s="1177" t="s">
        <v>3919</v>
      </c>
      <c r="H128" s="1214"/>
      <c r="I128" s="1178"/>
      <c r="J128" s="1177" t="s">
        <v>3918</v>
      </c>
      <c r="K128" s="1178"/>
      <c r="L128" s="1177" t="s">
        <v>3919</v>
      </c>
      <c r="M128" s="1178"/>
      <c r="N128" s="1177" t="s">
        <v>3919</v>
      </c>
      <c r="O128" s="1178"/>
      <c r="P128" s="1179" t="s">
        <v>3972</v>
      </c>
      <c r="Q128" s="1180"/>
      <c r="R128" s="1181">
        <v>1E-4</v>
      </c>
      <c r="S128" s="1182"/>
    </row>
    <row r="129" spans="1:19" s="458" customFormat="1" ht="13.95" customHeight="1">
      <c r="A129" s="720" t="s">
        <v>3523</v>
      </c>
      <c r="B129" s="721"/>
      <c r="C129" s="721"/>
      <c r="D129" s="722"/>
      <c r="E129" s="890"/>
      <c r="F129" s="890"/>
      <c r="G129" s="1215"/>
      <c r="H129" s="1253"/>
      <c r="I129" s="1216"/>
      <c r="J129" s="1215"/>
      <c r="K129" s="1216"/>
      <c r="L129" s="1215"/>
      <c r="M129" s="1216"/>
      <c r="N129" s="1215"/>
      <c r="O129" s="1216"/>
      <c r="P129" s="1217"/>
      <c r="Q129" s="1218"/>
      <c r="R129" s="1219"/>
      <c r="S129" s="1220"/>
    </row>
    <row r="130" spans="1:19" s="458" customFormat="1" ht="13.95" customHeight="1">
      <c r="A130" s="720" t="s">
        <v>3524</v>
      </c>
      <c r="B130" s="721"/>
      <c r="C130" s="721"/>
      <c r="D130" s="722"/>
      <c r="E130" s="890"/>
      <c r="F130" s="890"/>
      <c r="G130" s="1215"/>
      <c r="H130" s="1253"/>
      <c r="I130" s="1216"/>
      <c r="J130" s="1215"/>
      <c r="K130" s="1216"/>
      <c r="L130" s="1215"/>
      <c r="M130" s="1216"/>
      <c r="N130" s="1215"/>
      <c r="O130" s="1216"/>
      <c r="P130" s="1217"/>
      <c r="Q130" s="1218"/>
      <c r="R130" s="1219"/>
      <c r="S130" s="1220"/>
    </row>
    <row r="131" spans="1:19" s="458" customFormat="1" ht="13.95" customHeight="1">
      <c r="A131" s="720" t="s">
        <v>3525</v>
      </c>
      <c r="B131" s="721"/>
      <c r="C131" s="721"/>
      <c r="D131" s="722"/>
      <c r="E131" s="890" t="s">
        <v>3919</v>
      </c>
      <c r="F131" s="890"/>
      <c r="G131" s="1215" t="s">
        <v>3919</v>
      </c>
      <c r="H131" s="1253"/>
      <c r="I131" s="1216"/>
      <c r="J131" s="1215" t="s">
        <v>3919</v>
      </c>
      <c r="K131" s="1216"/>
      <c r="L131" s="1215" t="s">
        <v>3919</v>
      </c>
      <c r="M131" s="1216"/>
      <c r="N131" s="1215" t="s">
        <v>3919</v>
      </c>
      <c r="O131" s="1216"/>
      <c r="P131" s="1217" t="s">
        <v>3972</v>
      </c>
      <c r="Q131" s="1218"/>
      <c r="R131" s="1219">
        <v>0.99980000000000002</v>
      </c>
      <c r="S131" s="1220"/>
    </row>
    <row r="132" spans="1:19" s="458" customFormat="1" ht="13.95" customHeight="1">
      <c r="A132" s="720" t="s">
        <v>3526</v>
      </c>
      <c r="B132" s="721"/>
      <c r="C132" s="721"/>
      <c r="D132" s="722"/>
      <c r="E132" s="890" t="s">
        <v>3919</v>
      </c>
      <c r="F132" s="890"/>
      <c r="G132" s="1215" t="s">
        <v>3919</v>
      </c>
      <c r="H132" s="1253"/>
      <c r="I132" s="1216"/>
      <c r="J132" s="1215" t="s">
        <v>3919</v>
      </c>
      <c r="K132" s="1216"/>
      <c r="L132" s="1215" t="s">
        <v>3919</v>
      </c>
      <c r="M132" s="1216"/>
      <c r="N132" s="1215" t="s">
        <v>3919</v>
      </c>
      <c r="O132" s="1216"/>
      <c r="P132" s="1217" t="s">
        <v>3972</v>
      </c>
      <c r="Q132" s="1218"/>
      <c r="R132" s="1219">
        <v>1E-4</v>
      </c>
      <c r="S132" s="1220"/>
    </row>
    <row r="133" spans="1:19" s="458" customFormat="1" ht="13.95" customHeight="1">
      <c r="A133" s="720" t="s">
        <v>3527</v>
      </c>
      <c r="B133" s="721"/>
      <c r="C133" s="721"/>
      <c r="D133" s="722"/>
      <c r="E133" s="890"/>
      <c r="F133" s="890"/>
      <c r="G133" s="1215"/>
      <c r="H133" s="1253"/>
      <c r="I133" s="1216"/>
      <c r="J133" s="1215"/>
      <c r="K133" s="1216"/>
      <c r="L133" s="1215"/>
      <c r="M133" s="1216"/>
      <c r="N133" s="1215"/>
      <c r="O133" s="1216"/>
      <c r="P133" s="1217"/>
      <c r="Q133" s="1218"/>
      <c r="R133" s="1219"/>
      <c r="S133" s="1220"/>
    </row>
    <row r="134" spans="1:19" s="458" customFormat="1" ht="13.95" customHeight="1">
      <c r="A134" s="720" t="s">
        <v>995</v>
      </c>
      <c r="B134" s="721"/>
      <c r="C134" s="721"/>
      <c r="D134" s="722"/>
      <c r="E134" s="890" t="s">
        <v>3919</v>
      </c>
      <c r="F134" s="890"/>
      <c r="G134" s="1215" t="s">
        <v>3919</v>
      </c>
      <c r="H134" s="1253"/>
      <c r="I134" s="1216"/>
      <c r="J134" s="1215" t="s">
        <v>3918</v>
      </c>
      <c r="K134" s="1216"/>
      <c r="L134" s="1215" t="s">
        <v>3919</v>
      </c>
      <c r="M134" s="1216"/>
      <c r="N134" s="1215" t="s">
        <v>3919</v>
      </c>
      <c r="O134" s="1216"/>
      <c r="P134" s="1217" t="s">
        <v>3972</v>
      </c>
      <c r="Q134" s="1218"/>
      <c r="R134" s="1219"/>
      <c r="S134" s="1220"/>
    </row>
    <row r="135" spans="1:19" s="458" customFormat="1" ht="13.95" customHeight="1">
      <c r="A135" s="720" t="s">
        <v>3528</v>
      </c>
      <c r="B135" s="721"/>
      <c r="C135" s="721"/>
      <c r="D135" s="722"/>
      <c r="E135" s="890"/>
      <c r="F135" s="890"/>
      <c r="G135" s="1215"/>
      <c r="H135" s="1253"/>
      <c r="I135" s="1216"/>
      <c r="J135" s="1215"/>
      <c r="K135" s="1216"/>
      <c r="L135" s="1215"/>
      <c r="M135" s="1216"/>
      <c r="N135" s="1215"/>
      <c r="O135" s="1216"/>
      <c r="P135" s="1217"/>
      <c r="Q135" s="1218"/>
      <c r="R135" s="1219"/>
      <c r="S135" s="1220"/>
    </row>
    <row r="136" spans="1:19" s="458" customFormat="1" ht="13.95" customHeight="1">
      <c r="A136" s="720" t="s">
        <v>3529</v>
      </c>
      <c r="B136" s="721"/>
      <c r="C136" s="721"/>
      <c r="D136" s="722"/>
      <c r="E136" s="890"/>
      <c r="F136" s="890"/>
      <c r="G136" s="1215"/>
      <c r="H136" s="1253"/>
      <c r="I136" s="1216"/>
      <c r="J136" s="1215"/>
      <c r="K136" s="1216"/>
      <c r="L136" s="1215"/>
      <c r="M136" s="1216"/>
      <c r="N136" s="1215"/>
      <c r="O136" s="1216"/>
      <c r="P136" s="1217"/>
      <c r="Q136" s="1218"/>
      <c r="R136" s="1219"/>
      <c r="S136" s="1220"/>
    </row>
    <row r="137" spans="1:19" s="458" customFormat="1" ht="13.95" customHeight="1">
      <c r="A137" s="720" t="s">
        <v>3530</v>
      </c>
      <c r="B137" s="721"/>
      <c r="C137" s="721"/>
      <c r="D137" s="722"/>
      <c r="E137" s="890"/>
      <c r="F137" s="890"/>
      <c r="G137" s="1215"/>
      <c r="H137" s="1253"/>
      <c r="I137" s="1216"/>
      <c r="J137" s="1215"/>
      <c r="K137" s="1216"/>
      <c r="L137" s="1215"/>
      <c r="M137" s="1216"/>
      <c r="N137" s="1215"/>
      <c r="O137" s="1216"/>
      <c r="P137" s="1217"/>
      <c r="Q137" s="1218"/>
      <c r="R137" s="1219"/>
      <c r="S137" s="1220"/>
    </row>
    <row r="138" spans="1:19" s="458" customFormat="1" ht="13.95" customHeight="1">
      <c r="A138" s="720" t="s">
        <v>3531</v>
      </c>
      <c r="B138" s="721"/>
      <c r="C138" s="721"/>
      <c r="D138" s="722"/>
      <c r="E138" s="890" t="s">
        <v>3919</v>
      </c>
      <c r="F138" s="890"/>
      <c r="G138" s="1215" t="s">
        <v>3919</v>
      </c>
      <c r="H138" s="1253"/>
      <c r="I138" s="1216"/>
      <c r="J138" s="1215" t="s">
        <v>3918</v>
      </c>
      <c r="K138" s="1216"/>
      <c r="L138" s="1215" t="s">
        <v>3919</v>
      </c>
      <c r="M138" s="1216"/>
      <c r="N138" s="1215" t="s">
        <v>3919</v>
      </c>
      <c r="O138" s="1216"/>
      <c r="P138" s="1217" t="s">
        <v>3972</v>
      </c>
      <c r="Q138" s="1218"/>
      <c r="R138" s="1219"/>
      <c r="S138" s="1220"/>
    </row>
    <row r="139" spans="1:19" s="458" customFormat="1" ht="13.95" customHeight="1">
      <c r="A139" s="720" t="s">
        <v>2279</v>
      </c>
      <c r="B139" s="721"/>
      <c r="C139" s="721"/>
      <c r="D139" s="722"/>
      <c r="E139" s="890" t="s">
        <v>3919</v>
      </c>
      <c r="F139" s="890"/>
      <c r="G139" s="1215" t="s">
        <v>3919</v>
      </c>
      <c r="H139" s="1253"/>
      <c r="I139" s="1216"/>
      <c r="J139" s="1215" t="s">
        <v>3919</v>
      </c>
      <c r="K139" s="1216"/>
      <c r="L139" s="1215" t="s">
        <v>3919</v>
      </c>
      <c r="M139" s="1216"/>
      <c r="N139" s="1215" t="s">
        <v>3919</v>
      </c>
      <c r="O139" s="1216"/>
      <c r="P139" s="1217" t="s">
        <v>3972</v>
      </c>
      <c r="Q139" s="1218"/>
      <c r="R139" s="1219"/>
      <c r="S139" s="1220"/>
    </row>
    <row r="140" spans="1:19" s="458" customFormat="1" ht="13.95" customHeight="1">
      <c r="A140" s="726" t="s">
        <v>3532</v>
      </c>
      <c r="B140" s="727"/>
      <c r="C140" s="727"/>
      <c r="D140" s="514"/>
      <c r="E140" s="891" t="s">
        <v>3919</v>
      </c>
      <c r="F140" s="891"/>
      <c r="G140" s="1221" t="s">
        <v>3919</v>
      </c>
      <c r="H140" s="1254"/>
      <c r="I140" s="1222"/>
      <c r="J140" s="1221" t="s">
        <v>3918</v>
      </c>
      <c r="K140" s="1222"/>
      <c r="L140" s="1221" t="s">
        <v>3919</v>
      </c>
      <c r="M140" s="1222"/>
      <c r="N140" s="1221" t="s">
        <v>3919</v>
      </c>
      <c r="O140" s="1222"/>
      <c r="P140" s="1234" t="s">
        <v>3972</v>
      </c>
      <c r="Q140" s="1235"/>
      <c r="R140" s="1236"/>
      <c r="S140" s="1237"/>
    </row>
    <row r="141" spans="1:19" s="721" customFormat="1" ht="13.95" customHeight="1">
      <c r="G141" s="470"/>
      <c r="H141" s="470"/>
      <c r="I141" s="470"/>
      <c r="J141" s="719"/>
      <c r="K141" s="719"/>
      <c r="L141" s="719"/>
      <c r="M141" s="719"/>
      <c r="P141" s="468"/>
      <c r="Q141" s="489" t="s">
        <v>831</v>
      </c>
      <c r="R141" s="1232">
        <f>SUM(R128:S140)</f>
        <v>1</v>
      </c>
      <c r="S141" s="1233"/>
    </row>
    <row r="142" spans="1:19" s="721" customFormat="1" ht="12" customHeight="1">
      <c r="G142" s="470"/>
      <c r="H142" s="470"/>
      <c r="I142" s="470"/>
      <c r="J142" s="719"/>
      <c r="K142" s="719"/>
      <c r="L142" s="719"/>
      <c r="M142" s="719"/>
      <c r="P142" s="468"/>
      <c r="R142" s="459"/>
      <c r="S142" s="515"/>
    </row>
    <row r="143" spans="1:19" ht="12" customHeight="1">
      <c r="A143" s="491" t="s">
        <v>2824</v>
      </c>
      <c r="B143" s="506"/>
      <c r="C143" s="491" t="s">
        <v>878</v>
      </c>
      <c r="N143" s="491" t="s">
        <v>821</v>
      </c>
      <c r="O143" s="491" t="s">
        <v>89</v>
      </c>
    </row>
    <row r="144" spans="1:19" ht="3.6" customHeight="1">
      <c r="B144" s="506"/>
    </row>
    <row r="145" spans="1:19" ht="42.6" customHeight="1">
      <c r="A145" s="1008" t="s">
        <v>3971</v>
      </c>
      <c r="B145" s="1009"/>
      <c r="C145" s="1009"/>
      <c r="D145" s="1009"/>
      <c r="E145" s="1009"/>
      <c r="F145" s="1009"/>
      <c r="G145" s="1009"/>
      <c r="H145" s="1009"/>
      <c r="I145" s="1009"/>
      <c r="J145" s="1009"/>
      <c r="K145" s="1009"/>
      <c r="L145" s="1009"/>
      <c r="M145" s="1010"/>
      <c r="N145" s="1011"/>
      <c r="O145" s="1012"/>
      <c r="P145" s="1012"/>
      <c r="Q145" s="1012"/>
      <c r="R145" s="1012"/>
      <c r="S145" s="1013"/>
    </row>
    <row r="146" spans="1:19" s="458" customFormat="1" ht="42.6" customHeight="1">
      <c r="A146" s="1005" t="s">
        <v>4038</v>
      </c>
      <c r="B146" s="1006"/>
      <c r="C146" s="1006"/>
      <c r="D146" s="1006"/>
      <c r="E146" s="1006"/>
      <c r="F146" s="1006"/>
      <c r="G146" s="1006"/>
      <c r="H146" s="1006"/>
      <c r="I146" s="1006"/>
      <c r="J146" s="1006"/>
      <c r="K146" s="1006"/>
      <c r="L146" s="1006"/>
      <c r="M146" s="1007"/>
      <c r="N146" s="1002"/>
      <c r="O146" s="1003"/>
      <c r="P146" s="1003"/>
      <c r="Q146" s="1003"/>
      <c r="R146" s="1003"/>
      <c r="S146" s="1004"/>
    </row>
    <row r="147" spans="1:19" s="458" customFormat="1" ht="42.6" customHeight="1">
      <c r="A147" s="1014"/>
      <c r="B147" s="1015"/>
      <c r="C147" s="1015"/>
      <c r="D147" s="1015"/>
      <c r="E147" s="1015"/>
      <c r="F147" s="1015"/>
      <c r="G147" s="1015"/>
      <c r="H147" s="1015"/>
      <c r="I147" s="1015"/>
      <c r="J147" s="1015"/>
      <c r="K147" s="1015"/>
      <c r="L147" s="1015"/>
      <c r="M147" s="1016"/>
      <c r="N147" s="1017"/>
      <c r="O147" s="1018"/>
      <c r="P147" s="1018"/>
      <c r="Q147" s="1018"/>
      <c r="R147" s="1018"/>
      <c r="S147" s="101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2"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5"/>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8">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C20" sheet="1" objects="1" scenarios="1" formatCells="0" formatColumns="0" formatRows="0"/>
  <mergeCells count="285">
    <mergeCell ref="A145:M145"/>
    <mergeCell ref="A146:M146"/>
    <mergeCell ref="J129:K129"/>
    <mergeCell ref="J130:K130"/>
    <mergeCell ref="J133:K133"/>
    <mergeCell ref="J135:K135"/>
    <mergeCell ref="J136:K136"/>
    <mergeCell ref="J137:K137"/>
    <mergeCell ref="G129:I129"/>
    <mergeCell ref="G130:I130"/>
    <mergeCell ref="G133:I133"/>
    <mergeCell ref="G135:I135"/>
    <mergeCell ref="G136:I136"/>
    <mergeCell ref="G137:I137"/>
    <mergeCell ref="G131:I131"/>
    <mergeCell ref="G132:I132"/>
    <mergeCell ref="G134:I134"/>
    <mergeCell ref="G138:I138"/>
    <mergeCell ref="G139:I139"/>
    <mergeCell ref="G140:I140"/>
    <mergeCell ref="J131:K131"/>
    <mergeCell ref="J132:K132"/>
    <mergeCell ref="J134:K134"/>
    <mergeCell ref="J139:K139"/>
    <mergeCell ref="J138:K138"/>
    <mergeCell ref="J140:K140"/>
    <mergeCell ref="O40:S40"/>
    <mergeCell ref="O46:S46"/>
    <mergeCell ref="H59:N59"/>
    <mergeCell ref="H58:N58"/>
    <mergeCell ref="Q58:S58"/>
    <mergeCell ref="Q59:S59"/>
    <mergeCell ref="Q60:S60"/>
    <mergeCell ref="H60:J60"/>
    <mergeCell ref="H54:I54"/>
    <mergeCell ref="L54:M54"/>
    <mergeCell ref="H52:J52"/>
    <mergeCell ref="J53:K53"/>
    <mergeCell ref="H50:N50"/>
    <mergeCell ref="H51:N51"/>
    <mergeCell ref="J45:K45"/>
    <mergeCell ref="H46:I46"/>
    <mergeCell ref="L46:M46"/>
    <mergeCell ref="H43:N43"/>
    <mergeCell ref="H44:J44"/>
    <mergeCell ref="H40:I40"/>
    <mergeCell ref="L40:M40"/>
    <mergeCell ref="H42:N42"/>
    <mergeCell ref="Q5:S5"/>
    <mergeCell ref="Q6:S6"/>
    <mergeCell ref="Q7:S7"/>
    <mergeCell ref="Q8:S8"/>
    <mergeCell ref="Q17:S17"/>
    <mergeCell ref="Q16:S16"/>
    <mergeCell ref="R141:S141"/>
    <mergeCell ref="P140:Q140"/>
    <mergeCell ref="R140:S140"/>
    <mergeCell ref="P136:Q136"/>
    <mergeCell ref="R136:S136"/>
    <mergeCell ref="P132:Q132"/>
    <mergeCell ref="R132:S132"/>
    <mergeCell ref="O54:S54"/>
    <mergeCell ref="Q52:S52"/>
    <mergeCell ref="Q53:S53"/>
    <mergeCell ref="Q50:S50"/>
    <mergeCell ref="Q51:S51"/>
    <mergeCell ref="Q45:S45"/>
    <mergeCell ref="Q43:S43"/>
    <mergeCell ref="Q44:S44"/>
    <mergeCell ref="Q42:S42"/>
    <mergeCell ref="Q38:S38"/>
    <mergeCell ref="Q39:S39"/>
    <mergeCell ref="L140:M140"/>
    <mergeCell ref="N140:O140"/>
    <mergeCell ref="L139:M139"/>
    <mergeCell ref="N139:O139"/>
    <mergeCell ref="P137:Q137"/>
    <mergeCell ref="R137:S137"/>
    <mergeCell ref="P138:Q138"/>
    <mergeCell ref="R138:S138"/>
    <mergeCell ref="P139:Q139"/>
    <mergeCell ref="R139:S139"/>
    <mergeCell ref="L138:M138"/>
    <mergeCell ref="N138:O138"/>
    <mergeCell ref="L137:M137"/>
    <mergeCell ref="N137:O137"/>
    <mergeCell ref="L136:M136"/>
    <mergeCell ref="N136:O136"/>
    <mergeCell ref="L135:M135"/>
    <mergeCell ref="N135:O135"/>
    <mergeCell ref="P133:Q133"/>
    <mergeCell ref="R133:S133"/>
    <mergeCell ref="P134:Q134"/>
    <mergeCell ref="R134:S134"/>
    <mergeCell ref="P135:Q135"/>
    <mergeCell ref="R135:S135"/>
    <mergeCell ref="L134:M134"/>
    <mergeCell ref="N134:O134"/>
    <mergeCell ref="L133:M133"/>
    <mergeCell ref="N133:O133"/>
    <mergeCell ref="L132:M132"/>
    <mergeCell ref="N132:O132"/>
    <mergeCell ref="L131:M131"/>
    <mergeCell ref="N131:O131"/>
    <mergeCell ref="P129:Q129"/>
    <mergeCell ref="R129:S129"/>
    <mergeCell ref="P130:Q130"/>
    <mergeCell ref="R130:S130"/>
    <mergeCell ref="P131:Q131"/>
    <mergeCell ref="R131:S131"/>
    <mergeCell ref="L130:M130"/>
    <mergeCell ref="N130:O130"/>
    <mergeCell ref="L129:M129"/>
    <mergeCell ref="N129:O129"/>
    <mergeCell ref="L128:M128"/>
    <mergeCell ref="N128:O128"/>
    <mergeCell ref="P128:Q128"/>
    <mergeCell ref="R128:S128"/>
    <mergeCell ref="H119:I119"/>
    <mergeCell ref="L119:M119"/>
    <mergeCell ref="R123:S127"/>
    <mergeCell ref="O119:S119"/>
    <mergeCell ref="F123:F127"/>
    <mergeCell ref="G123:I127"/>
    <mergeCell ref="J123:K127"/>
    <mergeCell ref="L123:M127"/>
    <mergeCell ref="N123:O127"/>
    <mergeCell ref="P123:Q127"/>
    <mergeCell ref="J128:K128"/>
    <mergeCell ref="G128:I128"/>
    <mergeCell ref="H117:J117"/>
    <mergeCell ref="J118:K118"/>
    <mergeCell ref="Q118:S118"/>
    <mergeCell ref="Q117:S117"/>
    <mergeCell ref="J112:K112"/>
    <mergeCell ref="H113:I113"/>
    <mergeCell ref="L113:M113"/>
    <mergeCell ref="Q112:S112"/>
    <mergeCell ref="O113:S113"/>
    <mergeCell ref="H116:N116"/>
    <mergeCell ref="H115:N115"/>
    <mergeCell ref="Q116:S116"/>
    <mergeCell ref="Q115:S115"/>
    <mergeCell ref="H111:J111"/>
    <mergeCell ref="H106:I106"/>
    <mergeCell ref="L106:M106"/>
    <mergeCell ref="O106:S106"/>
    <mergeCell ref="Q111:S111"/>
    <mergeCell ref="Q109:S109"/>
    <mergeCell ref="Q110:S110"/>
    <mergeCell ref="H109:N109"/>
    <mergeCell ref="H110:N110"/>
    <mergeCell ref="H104:J104"/>
    <mergeCell ref="J105:K105"/>
    <mergeCell ref="J99:K99"/>
    <mergeCell ref="H100:I100"/>
    <mergeCell ref="L100:M100"/>
    <mergeCell ref="O100:S100"/>
    <mergeCell ref="Q99:S99"/>
    <mergeCell ref="H102:N102"/>
    <mergeCell ref="H103:N103"/>
    <mergeCell ref="Q103:S103"/>
    <mergeCell ref="Q102:S102"/>
    <mergeCell ref="Q104:S104"/>
    <mergeCell ref="Q105:S105"/>
    <mergeCell ref="H98:J98"/>
    <mergeCell ref="H94:I94"/>
    <mergeCell ref="L94:M94"/>
    <mergeCell ref="O94:S94"/>
    <mergeCell ref="H96:N96"/>
    <mergeCell ref="H97:N97"/>
    <mergeCell ref="Q96:S96"/>
    <mergeCell ref="Q97:S97"/>
    <mergeCell ref="Q98:S98"/>
    <mergeCell ref="H92:J92"/>
    <mergeCell ref="J93:K93"/>
    <mergeCell ref="J87:K87"/>
    <mergeCell ref="Q87:S87"/>
    <mergeCell ref="H88:I88"/>
    <mergeCell ref="L88:M88"/>
    <mergeCell ref="O88:S88"/>
    <mergeCell ref="H90:N90"/>
    <mergeCell ref="H91:N91"/>
    <mergeCell ref="Q93:S93"/>
    <mergeCell ref="Q90:S90"/>
    <mergeCell ref="Q91:S91"/>
    <mergeCell ref="Q92:S92"/>
    <mergeCell ref="H85:N85"/>
    <mergeCell ref="Q85:S85"/>
    <mergeCell ref="H86:J86"/>
    <mergeCell ref="Q86:S86"/>
    <mergeCell ref="H80:I80"/>
    <mergeCell ref="L80:M80"/>
    <mergeCell ref="H84:N84"/>
    <mergeCell ref="Q84:S84"/>
    <mergeCell ref="O80:S80"/>
    <mergeCell ref="H78:J78"/>
    <mergeCell ref="J79:K79"/>
    <mergeCell ref="J73:K73"/>
    <mergeCell ref="Q73:S73"/>
    <mergeCell ref="H74:I74"/>
    <mergeCell ref="L74:M74"/>
    <mergeCell ref="O74:S74"/>
    <mergeCell ref="H76:N76"/>
    <mergeCell ref="H77:N77"/>
    <mergeCell ref="Q78:S78"/>
    <mergeCell ref="Q79:S79"/>
    <mergeCell ref="Q76:S76"/>
    <mergeCell ref="Q77:S77"/>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H62:I62"/>
    <mergeCell ref="L62:M62"/>
    <mergeCell ref="O62:S62"/>
    <mergeCell ref="Q61:S61"/>
    <mergeCell ref="Q37:S37"/>
    <mergeCell ref="J39:K39"/>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36:N36"/>
    <mergeCell ref="H37:N37"/>
    <mergeCell ref="Q36:S36"/>
    <mergeCell ref="Q22:S22"/>
    <mergeCell ref="H23:N23"/>
    <mergeCell ref="Q23:S23"/>
    <mergeCell ref="J19:K19"/>
    <mergeCell ref="H20:I20"/>
    <mergeCell ref="L20:M20"/>
    <mergeCell ref="O9:S9"/>
    <mergeCell ref="O20:S20"/>
    <mergeCell ref="Q18:S18"/>
    <mergeCell ref="Q19:S19"/>
    <mergeCell ref="N147:S147"/>
    <mergeCell ref="A147:M147"/>
    <mergeCell ref="N146:S146"/>
    <mergeCell ref="N145:S145"/>
    <mergeCell ref="A1:S1"/>
    <mergeCell ref="H5:N5"/>
    <mergeCell ref="H6:N6"/>
    <mergeCell ref="A123:D127"/>
    <mergeCell ref="E123:E127"/>
    <mergeCell ref="O14:S14"/>
    <mergeCell ref="H7:J7"/>
    <mergeCell ref="J8:K8"/>
    <mergeCell ref="L7:N7"/>
    <mergeCell ref="H17:N17"/>
    <mergeCell ref="H18:J18"/>
    <mergeCell ref="H9:I9"/>
    <mergeCell ref="H24:J24"/>
    <mergeCell ref="Q24:S24"/>
    <mergeCell ref="J25:K25"/>
    <mergeCell ref="H38:J38"/>
    <mergeCell ref="L9:M9"/>
    <mergeCell ref="H16:N16"/>
    <mergeCell ref="O12:S12"/>
    <mergeCell ref="H22:N22"/>
  </mergeCells>
  <phoneticPr fontId="5" type="noConversion"/>
  <dataValidations count="6">
    <dataValidation type="list" allowBlank="1" showErrorMessage="1" sqref="K135:K137 L128:O140 J133:K133 E128:G140 K129:K130 J128:J132 J134:J140 K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100" zoomScaleSheetLayoutView="90" workbookViewId="0">
      <selection activeCell="H20" sqref="H20:K20"/>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070" t="str">
        <f>CONCATENATE("PART THREE - SOURCES OF FUNDS","  -  ",'Part I-Project Information'!$O$4," ",'Part I-Project Information'!$F$22,", ",'Part I-Project Information'!$F$24,", ",'Part I-Project Information'!$J$25," County")</f>
        <v>PART THREE - SOURCES OF FUNDS  -  2011-003 Pecan Point Apartments, Cochran, Bleckley County</v>
      </c>
      <c r="B1" s="1071"/>
      <c r="C1" s="1071"/>
      <c r="D1" s="1071"/>
      <c r="E1" s="1071"/>
      <c r="F1" s="1071"/>
      <c r="G1" s="1071"/>
      <c r="H1" s="1071"/>
      <c r="I1" s="1071"/>
      <c r="J1" s="1071"/>
      <c r="K1" s="1071"/>
      <c r="L1" s="1071"/>
      <c r="M1" s="1071"/>
      <c r="N1" s="1071"/>
      <c r="O1" s="1071"/>
      <c r="P1" s="1071"/>
      <c r="Q1" s="1072"/>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949</v>
      </c>
      <c r="B3" s="485" t="s">
        <v>3769</v>
      </c>
      <c r="C3" s="458"/>
      <c r="D3" s="721"/>
      <c r="E3" s="721"/>
      <c r="F3" s="721"/>
      <c r="G3" s="721"/>
      <c r="H3" s="721"/>
      <c r="I3" s="458"/>
      <c r="J3" s="458"/>
      <c r="K3" s="458"/>
      <c r="L3" s="458"/>
      <c r="M3" s="458"/>
    </row>
    <row r="4" spans="1:17" s="398" customFormat="1" ht="13.95" customHeight="1">
      <c r="A4" s="491"/>
      <c r="B4" s="735"/>
      <c r="C4" s="485"/>
      <c r="D4" s="721"/>
      <c r="E4" s="721"/>
      <c r="F4" s="721"/>
      <c r="G4" s="721"/>
      <c r="I4" s="458"/>
      <c r="J4" s="458"/>
      <c r="K4" s="458"/>
      <c r="L4" s="458"/>
      <c r="M4" s="458"/>
    </row>
    <row r="5" spans="1:17" s="398" customFormat="1" ht="16.95" customHeight="1">
      <c r="A5" s="735"/>
      <c r="B5" s="877" t="s">
        <v>3918</v>
      </c>
      <c r="C5" s="713" t="s">
        <v>3651</v>
      </c>
      <c r="D5" s="458"/>
      <c r="E5" s="877"/>
      <c r="F5" s="716" t="s">
        <v>2652</v>
      </c>
      <c r="G5" s="458"/>
      <c r="J5" s="1304"/>
      <c r="K5" s="1305"/>
      <c r="M5" s="877"/>
      <c r="N5" s="713" t="s">
        <v>844</v>
      </c>
    </row>
    <row r="6" spans="1:17" s="398" customFormat="1" ht="16.95" customHeight="1">
      <c r="A6" s="735"/>
      <c r="B6" s="877"/>
      <c r="C6" s="713" t="s">
        <v>2834</v>
      </c>
      <c r="D6" s="458"/>
      <c r="E6" s="877"/>
      <c r="F6" s="716" t="s">
        <v>3310</v>
      </c>
      <c r="J6" s="877"/>
      <c r="K6" s="721" t="s">
        <v>845</v>
      </c>
      <c r="M6" s="877"/>
      <c r="N6" s="716" t="s">
        <v>843</v>
      </c>
    </row>
    <row r="7" spans="1:17" s="398" customFormat="1" ht="16.95" customHeight="1">
      <c r="A7" s="458"/>
      <c r="B7" s="877"/>
      <c r="C7" s="713" t="s">
        <v>2835</v>
      </c>
      <c r="E7" s="877"/>
      <c r="F7" s="716" t="s">
        <v>3309</v>
      </c>
      <c r="G7" s="458"/>
      <c r="J7" s="877"/>
      <c r="K7" s="721" t="s">
        <v>2289</v>
      </c>
      <c r="M7" s="877"/>
      <c r="N7" s="464" t="s">
        <v>1980</v>
      </c>
      <c r="P7" s="1304"/>
      <c r="Q7" s="1305"/>
    </row>
    <row r="8" spans="1:17" s="398" customFormat="1" ht="16.95" customHeight="1">
      <c r="A8" s="735"/>
      <c r="B8" s="877" t="s">
        <v>3918</v>
      </c>
      <c r="C8" s="721" t="s">
        <v>3913</v>
      </c>
      <c r="D8" s="458"/>
      <c r="E8" s="877"/>
      <c r="F8" s="487" t="s">
        <v>3914</v>
      </c>
      <c r="H8" s="877"/>
      <c r="I8" s="458" t="s">
        <v>3652</v>
      </c>
      <c r="J8" s="877"/>
      <c r="K8" s="458" t="s">
        <v>873</v>
      </c>
      <c r="M8" s="877"/>
      <c r="N8" s="956" t="s">
        <v>3230</v>
      </c>
      <c r="O8" s="964"/>
      <c r="P8" s="964"/>
      <c r="Q8" s="957"/>
    </row>
    <row r="9" spans="1:17" s="398" customFormat="1" ht="16.95" customHeight="1">
      <c r="A9" s="735"/>
      <c r="B9" s="398" t="s">
        <v>310</v>
      </c>
      <c r="C9" s="458"/>
      <c r="D9" s="458"/>
      <c r="E9" s="458"/>
      <c r="F9" s="458"/>
      <c r="G9" s="458"/>
      <c r="H9" s="458"/>
      <c r="I9" s="458"/>
      <c r="J9" s="458"/>
      <c r="K9" s="458"/>
      <c r="L9" s="458"/>
      <c r="M9" s="487"/>
      <c r="N9" s="458"/>
      <c r="O9" s="458"/>
      <c r="P9" s="458"/>
      <c r="Q9" s="458"/>
    </row>
    <row r="10" spans="1:17" s="398" customFormat="1" ht="17.399999999999999" customHeight="1">
      <c r="A10" s="735"/>
      <c r="H10" s="458"/>
      <c r="L10" s="458"/>
      <c r="M10" s="487"/>
      <c r="N10" s="458"/>
      <c r="O10" s="458"/>
      <c r="P10" s="458"/>
      <c r="Q10" s="458"/>
    </row>
    <row r="11" spans="1:17" s="517" customFormat="1" ht="15" customHeight="1">
      <c r="A11" s="461" t="s">
        <v>1228</v>
      </c>
      <c r="B11" s="395" t="s">
        <v>3493</v>
      </c>
      <c r="C11" s="458"/>
      <c r="D11" s="721"/>
      <c r="E11" s="458"/>
      <c r="F11" s="458"/>
      <c r="G11" s="458"/>
      <c r="H11" s="461"/>
      <c r="I11" s="482"/>
      <c r="J11" s="461"/>
      <c r="K11" s="458"/>
      <c r="L11" s="458"/>
      <c r="M11" s="721"/>
      <c r="N11" s="995"/>
      <c r="O11" s="995"/>
      <c r="P11" s="458"/>
      <c r="Q11" s="458"/>
    </row>
    <row r="12" spans="1:17" s="517" customFormat="1" ht="13.95" customHeight="1">
      <c r="A12" s="461"/>
      <c r="B12" s="395"/>
      <c r="C12" s="458"/>
      <c r="K12" s="458"/>
      <c r="L12" s="458"/>
      <c r="M12" s="721"/>
      <c r="N12" s="715"/>
      <c r="O12" s="715"/>
      <c r="P12" s="458"/>
      <c r="Q12" s="458"/>
    </row>
    <row r="13" spans="1:17" s="398" customFormat="1" ht="16.95" customHeight="1">
      <c r="A13" s="458"/>
      <c r="B13" s="713" t="s">
        <v>2925</v>
      </c>
      <c r="C13" s="458"/>
      <c r="D13" s="458"/>
      <c r="E13" s="458"/>
      <c r="F13" s="458"/>
      <c r="G13" s="458"/>
      <c r="H13" s="1257" t="s">
        <v>1996</v>
      </c>
      <c r="I13" s="1257"/>
      <c r="J13" s="1257"/>
      <c r="K13" s="1257"/>
      <c r="L13" s="1033" t="s">
        <v>3066</v>
      </c>
      <c r="M13" s="1033"/>
      <c r="N13" s="1033" t="s">
        <v>2256</v>
      </c>
      <c r="O13" s="1033"/>
      <c r="P13" s="1033" t="s">
        <v>2535</v>
      </c>
      <c r="Q13" s="1033"/>
    </row>
    <row r="14" spans="1:17" s="398" customFormat="1" ht="16.95" customHeight="1">
      <c r="A14" s="458"/>
      <c r="B14" s="1301" t="s">
        <v>2346</v>
      </c>
      <c r="C14" s="1302"/>
      <c r="D14" s="1302"/>
      <c r="E14" s="724"/>
      <c r="F14" s="724"/>
      <c r="G14" s="724"/>
      <c r="H14" s="956" t="s">
        <v>3974</v>
      </c>
      <c r="I14" s="964"/>
      <c r="J14" s="964"/>
      <c r="K14" s="957"/>
      <c r="L14" s="1255">
        <v>1202959</v>
      </c>
      <c r="M14" s="1256"/>
      <c r="N14" s="1275">
        <v>0.01</v>
      </c>
      <c r="O14" s="1276"/>
      <c r="P14" s="1308">
        <v>24</v>
      </c>
      <c r="Q14" s="1309"/>
    </row>
    <row r="15" spans="1:17" s="398" customFormat="1" ht="16.95" customHeight="1">
      <c r="A15" s="458"/>
      <c r="B15" s="1290" t="s">
        <v>2347</v>
      </c>
      <c r="C15" s="1291"/>
      <c r="D15" s="1291"/>
      <c r="E15" s="721"/>
      <c r="F15" s="721"/>
      <c r="G15" s="721"/>
      <c r="H15" s="956"/>
      <c r="I15" s="964"/>
      <c r="J15" s="964"/>
      <c r="K15" s="957"/>
      <c r="L15" s="1255"/>
      <c r="M15" s="1256"/>
      <c r="N15" s="1275"/>
      <c r="O15" s="1276"/>
      <c r="P15" s="1277"/>
      <c r="Q15" s="1278"/>
    </row>
    <row r="16" spans="1:17" s="398" customFormat="1" ht="16.95" customHeight="1">
      <c r="A16" s="458"/>
      <c r="B16" s="1306" t="s">
        <v>2348</v>
      </c>
      <c r="C16" s="1307"/>
      <c r="D16" s="1307"/>
      <c r="E16" s="727"/>
      <c r="F16" s="727"/>
      <c r="G16" s="727"/>
      <c r="H16" s="956"/>
      <c r="I16" s="964"/>
      <c r="J16" s="964"/>
      <c r="K16" s="957"/>
      <c r="L16" s="1255"/>
      <c r="M16" s="1256"/>
      <c r="N16" s="1275"/>
      <c r="O16" s="1276"/>
      <c r="P16" s="1277"/>
      <c r="Q16" s="1278"/>
    </row>
    <row r="17" spans="1:17" s="398" customFormat="1" ht="16.95" customHeight="1">
      <c r="A17" s="458"/>
      <c r="B17" s="1301" t="s">
        <v>3331</v>
      </c>
      <c r="C17" s="1302"/>
      <c r="D17" s="1302"/>
      <c r="E17" s="721"/>
      <c r="F17" s="721"/>
      <c r="G17" s="721"/>
      <c r="H17" s="956"/>
      <c r="I17" s="964"/>
      <c r="J17" s="964"/>
      <c r="K17" s="957"/>
      <c r="L17" s="1255"/>
      <c r="M17" s="1256"/>
      <c r="N17" s="1280"/>
      <c r="O17" s="1281"/>
      <c r="P17" s="1279"/>
      <c r="Q17" s="1279"/>
    </row>
    <row r="18" spans="1:17" s="398" customFormat="1" ht="16.95" customHeight="1">
      <c r="A18" s="458"/>
      <c r="B18" s="1290" t="s">
        <v>1382</v>
      </c>
      <c r="C18" s="1291"/>
      <c r="D18" s="1291"/>
      <c r="E18" s="721"/>
      <c r="H18" s="956"/>
      <c r="I18" s="964"/>
      <c r="J18" s="964"/>
      <c r="K18" s="957"/>
      <c r="L18" s="1255"/>
      <c r="M18" s="1256"/>
      <c r="N18" s="1280"/>
      <c r="O18" s="1281"/>
      <c r="P18" s="1279"/>
      <c r="Q18" s="1279"/>
    </row>
    <row r="19" spans="1:17" s="398" customFormat="1" ht="16.95" customHeight="1">
      <c r="A19" s="458"/>
      <c r="B19" s="1290" t="s">
        <v>976</v>
      </c>
      <c r="C19" s="1291"/>
      <c r="D19" s="1291"/>
      <c r="E19" s="721"/>
      <c r="H19" s="956"/>
      <c r="I19" s="964"/>
      <c r="J19" s="964"/>
      <c r="K19" s="957"/>
      <c r="L19" s="1255"/>
      <c r="M19" s="1256"/>
      <c r="N19" s="1280"/>
      <c r="O19" s="1281"/>
      <c r="P19" s="1279"/>
      <c r="Q19" s="1279"/>
    </row>
    <row r="20" spans="1:17" s="398" customFormat="1" ht="16.95" customHeight="1">
      <c r="A20" s="458"/>
      <c r="B20" s="1290" t="s">
        <v>1383</v>
      </c>
      <c r="C20" s="1291"/>
      <c r="D20" s="1291"/>
      <c r="E20" s="721"/>
      <c r="H20" s="956" t="s">
        <v>3975</v>
      </c>
      <c r="I20" s="964"/>
      <c r="J20" s="964"/>
      <c r="K20" s="957"/>
      <c r="L20" s="1255">
        <v>3231395</v>
      </c>
      <c r="M20" s="1256"/>
      <c r="N20" s="458"/>
      <c r="O20" s="458"/>
      <c r="P20" s="458"/>
      <c r="Q20" s="458"/>
    </row>
    <row r="21" spans="1:17" s="398" customFormat="1" ht="16.95" customHeight="1">
      <c r="A21" s="458"/>
      <c r="B21" s="1290" t="s">
        <v>1384</v>
      </c>
      <c r="C21" s="1291"/>
      <c r="D21" s="1291"/>
      <c r="E21" s="721"/>
      <c r="H21" s="956" t="s">
        <v>3975</v>
      </c>
      <c r="I21" s="964"/>
      <c r="J21" s="964"/>
      <c r="K21" s="957"/>
      <c r="L21" s="1255">
        <v>1077347</v>
      </c>
      <c r="M21" s="1256"/>
      <c r="N21" s="458"/>
      <c r="O21" s="458"/>
      <c r="P21" s="458"/>
      <c r="Q21" s="458"/>
    </row>
    <row r="22" spans="1:17" s="398" customFormat="1" ht="16.95" customHeight="1">
      <c r="A22" s="458"/>
      <c r="B22" s="720" t="s">
        <v>309</v>
      </c>
      <c r="C22" s="721"/>
      <c r="D22" s="1322"/>
      <c r="E22" s="1322"/>
      <c r="F22" s="1322"/>
      <c r="G22" s="1322"/>
      <c r="H22" s="956"/>
      <c r="I22" s="964"/>
      <c r="J22" s="964"/>
      <c r="K22" s="957"/>
      <c r="L22" s="1255"/>
      <c r="M22" s="1256"/>
      <c r="N22" s="458"/>
      <c r="O22" s="458"/>
      <c r="P22" s="458"/>
      <c r="Q22" s="458"/>
    </row>
    <row r="23" spans="1:17" s="398" customFormat="1" ht="16.95" customHeight="1">
      <c r="A23" s="458"/>
      <c r="B23" s="720" t="s">
        <v>309</v>
      </c>
      <c r="C23" s="721"/>
      <c r="D23" s="1322"/>
      <c r="E23" s="1322"/>
      <c r="F23" s="1322"/>
      <c r="G23" s="1322"/>
      <c r="H23" s="956"/>
      <c r="I23" s="964"/>
      <c r="J23" s="964"/>
      <c r="K23" s="957"/>
      <c r="L23" s="1255"/>
      <c r="M23" s="1256"/>
      <c r="N23" s="458"/>
      <c r="O23" s="458"/>
      <c r="P23" s="458"/>
      <c r="Q23" s="458"/>
    </row>
    <row r="24" spans="1:17" s="398" customFormat="1" ht="16.95" customHeight="1">
      <c r="A24" s="458"/>
      <c r="B24" s="726" t="s">
        <v>309</v>
      </c>
      <c r="C24" s="727"/>
      <c r="D24" s="1322"/>
      <c r="E24" s="1322"/>
      <c r="F24" s="1322"/>
      <c r="G24" s="1322"/>
      <c r="H24" s="956"/>
      <c r="I24" s="964"/>
      <c r="J24" s="964"/>
      <c r="K24" s="957"/>
      <c r="L24" s="1255"/>
      <c r="M24" s="1256"/>
      <c r="N24" s="458"/>
      <c r="O24" s="458"/>
      <c r="P24" s="458"/>
      <c r="Q24" s="458"/>
    </row>
    <row r="25" spans="1:17" s="398" customFormat="1" ht="16.95" customHeight="1">
      <c r="A25" s="458"/>
      <c r="B25" s="395" t="s">
        <v>1997</v>
      </c>
      <c r="C25" s="458"/>
      <c r="D25" s="458"/>
      <c r="E25" s="458"/>
      <c r="F25" s="458"/>
      <c r="G25" s="458"/>
      <c r="H25" s="458"/>
      <c r="I25" s="458"/>
      <c r="L25" s="1286">
        <f>SUM(L14:L24)</f>
        <v>5511701</v>
      </c>
      <c r="M25" s="1287"/>
      <c r="N25" s="482"/>
      <c r="O25" s="482"/>
      <c r="P25" s="482"/>
      <c r="Q25" s="482"/>
    </row>
    <row r="26" spans="1:17" s="398" customFormat="1" ht="16.95" customHeight="1">
      <c r="A26" s="458"/>
      <c r="B26" s="713" t="s">
        <v>1998</v>
      </c>
      <c r="C26" s="458"/>
      <c r="D26" s="458"/>
      <c r="E26" s="458"/>
      <c r="F26" s="458"/>
      <c r="G26" s="458"/>
      <c r="H26" s="458"/>
      <c r="I26" s="458"/>
      <c r="L26" s="1286">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5495075</v>
      </c>
      <c r="M26" s="1287"/>
      <c r="N26" s="1282"/>
      <c r="O26" s="1283"/>
      <c r="P26" s="1283"/>
      <c r="Q26" s="1283"/>
    </row>
    <row r="27" spans="1:17" s="398" customFormat="1" ht="16.95" customHeight="1">
      <c r="A27" s="458"/>
      <c r="B27" s="464" t="s">
        <v>3259</v>
      </c>
      <c r="C27" s="458"/>
      <c r="D27" s="458"/>
      <c r="E27" s="458"/>
      <c r="F27" s="458"/>
      <c r="G27" s="458"/>
      <c r="H27" s="458"/>
      <c r="I27" s="458"/>
      <c r="L27" s="1288">
        <f>L25-L26</f>
        <v>16626</v>
      </c>
      <c r="M27" s="1289"/>
      <c r="N27" s="1282"/>
      <c r="O27" s="1283"/>
      <c r="P27" s="1283"/>
      <c r="Q27" s="1283"/>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1230</v>
      </c>
      <c r="B29" s="395" t="s">
        <v>1381</v>
      </c>
      <c r="C29" s="482"/>
      <c r="D29" s="482"/>
      <c r="E29" s="482"/>
      <c r="F29" s="482"/>
      <c r="G29" s="482"/>
      <c r="H29" s="482"/>
      <c r="I29" s="482"/>
      <c r="J29" s="482"/>
      <c r="K29" s="482"/>
      <c r="L29" s="482"/>
      <c r="M29" s="719"/>
      <c r="N29" s="719"/>
      <c r="O29" s="482"/>
      <c r="P29" s="461"/>
      <c r="Q29" s="461"/>
    </row>
    <row r="30" spans="1:17" s="398" customFormat="1" ht="13.2" customHeight="1">
      <c r="A30" s="458"/>
      <c r="B30" s="458"/>
      <c r="C30" s="458"/>
      <c r="D30" s="458"/>
      <c r="E30" s="458"/>
      <c r="F30" s="719"/>
      <c r="G30" s="719"/>
      <c r="H30" s="1279"/>
      <c r="I30" s="1279"/>
      <c r="J30" s="552" t="s">
        <v>3193</v>
      </c>
      <c r="K30" s="719" t="s">
        <v>1994</v>
      </c>
      <c r="L30" s="719" t="s">
        <v>1999</v>
      </c>
      <c r="M30" s="1055" t="s">
        <v>40</v>
      </c>
      <c r="N30" s="1055"/>
      <c r="O30" s="715"/>
      <c r="P30" s="719"/>
      <c r="Q30" s="1310" t="s">
        <v>3490</v>
      </c>
    </row>
    <row r="31" spans="1:17" s="398" customFormat="1" ht="13.2" customHeight="1" thickBot="1">
      <c r="A31" s="458"/>
      <c r="B31" s="718" t="s">
        <v>2925</v>
      </c>
      <c r="C31" s="727"/>
      <c r="D31" s="727"/>
      <c r="E31" s="1291" t="s">
        <v>1996</v>
      </c>
      <c r="F31" s="1291"/>
      <c r="G31" s="1291"/>
      <c r="H31" s="1033" t="s">
        <v>718</v>
      </c>
      <c r="I31" s="1033"/>
      <c r="J31" s="717" t="s">
        <v>2842</v>
      </c>
      <c r="K31" s="717" t="s">
        <v>3330</v>
      </c>
      <c r="L31" s="717" t="s">
        <v>3330</v>
      </c>
      <c r="M31" s="1264"/>
      <c r="N31" s="1264"/>
      <c r="O31" s="1033" t="s">
        <v>84</v>
      </c>
      <c r="P31" s="1033"/>
      <c r="Q31" s="1311"/>
    </row>
    <row r="32" spans="1:17" s="398" customFormat="1" ht="13.2" customHeight="1" thickBot="1">
      <c r="A32" s="458"/>
      <c r="B32" s="1301" t="str">
        <f>IF(E32 ="&lt;&lt;Select applicable option&gt;&gt;", "Make a selection FIRST --&gt;",IF(E32 = "Neither","N/A","Mortgage A"))</f>
        <v>N/A</v>
      </c>
      <c r="C32" s="1302"/>
      <c r="D32" s="1302"/>
      <c r="E32" s="1325" t="s">
        <v>3973</v>
      </c>
      <c r="F32" s="1326"/>
      <c r="G32" s="1327"/>
      <c r="H32" s="1320">
        <f>IF($E$32="USDA 538 Loan", 'Part III B-USDA 538 Loan'!C5,IF($E$32="HUD Insured Loan", 'Part III C-HUD Insured Loan'!D5,0))</f>
        <v>0</v>
      </c>
      <c r="I32" s="132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284" t="str">
        <f>IF(OR(H32&lt;=0,H32=""),"",IF(O32="Amortizing",-PMT(J32/12,L32*12,H32,0,0)*12,IF(NOT(O32="Amortizing"),'Part VII-Pro Forma'!B23,"")))</f>
        <v/>
      </c>
      <c r="N32" s="1285"/>
      <c r="O32" s="1267" t="s">
        <v>3016</v>
      </c>
      <c r="P32" s="1268"/>
      <c r="Q32" s="878" t="s">
        <v>2759</v>
      </c>
    </row>
    <row r="33" spans="1:19" s="398" customFormat="1" ht="13.2" customHeight="1">
      <c r="A33" s="458"/>
      <c r="B33" s="1290" t="str">
        <f>IF(OR(E32 = "Neither",E32 = "&lt;&lt;Select applicable option&gt;&gt;"), "Mortgage A","Mortgage B")</f>
        <v>Mortgage A</v>
      </c>
      <c r="C33" s="1291"/>
      <c r="D33" s="1292"/>
      <c r="E33" s="1038" t="s">
        <v>3974</v>
      </c>
      <c r="F33" s="1323"/>
      <c r="G33" s="1324"/>
      <c r="H33" s="1273">
        <v>1202959</v>
      </c>
      <c r="I33" s="1295"/>
      <c r="J33" s="879">
        <v>0.01</v>
      </c>
      <c r="K33" s="877">
        <v>50</v>
      </c>
      <c r="L33" s="877">
        <v>50</v>
      </c>
      <c r="M33" s="1265">
        <v>33614</v>
      </c>
      <c r="N33" s="1266"/>
      <c r="O33" s="1262" t="s">
        <v>3016</v>
      </c>
      <c r="P33" s="1263"/>
      <c r="Q33" s="880">
        <v>1.25</v>
      </c>
    </row>
    <row r="34" spans="1:19" s="398" customFormat="1" ht="13.2" customHeight="1">
      <c r="A34" s="458"/>
      <c r="B34" s="720" t="str">
        <f>IF(OR(E32 = "Neither",E32 = "&lt;&lt;Select applicable option&gt;&gt;"), "Mortgage B","Mortgage C")</f>
        <v>Mortgage B</v>
      </c>
      <c r="C34" s="721"/>
      <c r="D34" s="722"/>
      <c r="E34" s="956"/>
      <c r="F34" s="1300"/>
      <c r="G34" s="1295"/>
      <c r="H34" s="1273"/>
      <c r="I34" s="1295"/>
      <c r="J34" s="879"/>
      <c r="K34" s="877"/>
      <c r="L34" s="877"/>
      <c r="M34" s="1265" t="str">
        <f>IF(OR(H34&lt;=0,H34=""),"",IF(O34="Amortizing",-PMT(J34/12,L34*12,H34,0,0)*12,""))</f>
        <v/>
      </c>
      <c r="N34" s="1266"/>
      <c r="O34" s="1262"/>
      <c r="P34" s="1263"/>
      <c r="Q34" s="880"/>
    </row>
    <row r="35" spans="1:19" s="398" customFormat="1" ht="13.2" customHeight="1">
      <c r="A35" s="458"/>
      <c r="B35" s="720" t="s">
        <v>1229</v>
      </c>
      <c r="C35" s="1262"/>
      <c r="D35" s="1263"/>
      <c r="E35" s="956"/>
      <c r="F35" s="1300"/>
      <c r="G35" s="1295"/>
      <c r="H35" s="1273"/>
      <c r="I35" s="1295"/>
      <c r="J35" s="879"/>
      <c r="K35" s="877"/>
      <c r="L35" s="877"/>
      <c r="M35" s="1265" t="str">
        <f>IF(OR(H35&lt;=0,H35=""),"",IF(O35="Amortizing",-PMT(J35/12,L35*12,H35,0,0)*12,""))</f>
        <v/>
      </c>
      <c r="N35" s="1266"/>
      <c r="O35" s="1262"/>
      <c r="P35" s="1263"/>
      <c r="Q35" s="880"/>
    </row>
    <row r="36" spans="1:19" s="398" customFormat="1" ht="13.2" customHeight="1">
      <c r="A36" s="458"/>
      <c r="B36" s="720" t="s">
        <v>2084</v>
      </c>
      <c r="C36" s="721"/>
      <c r="D36" s="722"/>
      <c r="E36" s="956"/>
      <c r="F36" s="1300"/>
      <c r="G36" s="1295"/>
      <c r="H36" s="1273"/>
      <c r="I36" s="1295"/>
      <c r="J36" s="879"/>
      <c r="K36" s="877"/>
      <c r="L36" s="877"/>
      <c r="M36" s="1265" t="str">
        <f>IF(OR(H36&lt;=0,H36=""),"",IF(O36="Amortizing",-PMT(J36/12,L36*12,H36,0,0)*12,""))</f>
        <v/>
      </c>
      <c r="N36" s="1266"/>
      <c r="O36" s="1262"/>
      <c r="P36" s="1263"/>
      <c r="Q36" s="880"/>
    </row>
    <row r="37" spans="1:19" s="398" customFormat="1" ht="13.2" customHeight="1">
      <c r="A37" s="458"/>
      <c r="B37" s="726" t="s">
        <v>292</v>
      </c>
      <c r="C37" s="727"/>
      <c r="D37" s="555">
        <f>IF(OR(H37="",H37=0,'Part IV-Uses of Funds'!$G$109="",'Part IV-Uses of Funds'!$G$109=0),"",H37/'Part IV-Uses of Funds'!$G$109)</f>
        <v>9.5630503642135721E-4</v>
      </c>
      <c r="E37" s="956" t="s">
        <v>3928</v>
      </c>
      <c r="F37" s="1300"/>
      <c r="G37" s="1295"/>
      <c r="H37" s="1273">
        <v>807</v>
      </c>
      <c r="I37" s="1295"/>
      <c r="J37" s="879">
        <v>0</v>
      </c>
      <c r="K37" s="877">
        <v>1</v>
      </c>
      <c r="L37" s="877">
        <v>1</v>
      </c>
      <c r="M37" s="1265">
        <v>807</v>
      </c>
      <c r="N37" s="1266"/>
      <c r="O37" s="1262" t="s">
        <v>1808</v>
      </c>
      <c r="P37" s="1263"/>
      <c r="Q37" s="880"/>
    </row>
    <row r="38" spans="1:19" s="398" customFormat="1" ht="13.2" customHeight="1">
      <c r="A38" s="458"/>
      <c r="B38" s="1301" t="s">
        <v>3331</v>
      </c>
      <c r="C38" s="1302"/>
      <c r="D38" s="1303"/>
      <c r="E38" s="956"/>
      <c r="F38" s="1300"/>
      <c r="G38" s="1295"/>
      <c r="H38" s="1293"/>
      <c r="I38" s="1294"/>
      <c r="K38" s="556"/>
      <c r="L38" s="556"/>
      <c r="M38" s="556"/>
      <c r="N38" s="556"/>
      <c r="O38" s="556"/>
      <c r="P38" s="556"/>
      <c r="Q38" s="556"/>
      <c r="S38" s="648" t="s">
        <v>807</v>
      </c>
    </row>
    <row r="39" spans="1:19" s="398" customFormat="1" ht="13.2" customHeight="1">
      <c r="A39" s="458"/>
      <c r="B39" s="1290" t="s">
        <v>1382</v>
      </c>
      <c r="C39" s="1291"/>
      <c r="D39" s="1292"/>
      <c r="E39" s="956"/>
      <c r="F39" s="1300"/>
      <c r="G39" s="1295"/>
      <c r="H39" s="1293"/>
      <c r="I39" s="1294"/>
      <c r="J39" s="1312" t="s">
        <v>808</v>
      </c>
      <c r="K39" s="1313"/>
      <c r="L39" s="652" t="s">
        <v>809</v>
      </c>
      <c r="M39" s="557"/>
      <c r="N39" s="557"/>
      <c r="O39" s="557"/>
      <c r="P39" s="557"/>
      <c r="Q39" s="556"/>
      <c r="S39" s="649" t="s">
        <v>3863</v>
      </c>
    </row>
    <row r="40" spans="1:19" s="398" customFormat="1" ht="13.2" customHeight="1">
      <c r="A40" s="458"/>
      <c r="B40" s="1290" t="s">
        <v>1383</v>
      </c>
      <c r="C40" s="1291"/>
      <c r="D40" s="1292"/>
      <c r="E40" s="956" t="s">
        <v>3975</v>
      </c>
      <c r="F40" s="964"/>
      <c r="G40" s="957"/>
      <c r="H40" s="1273">
        <v>4039244</v>
      </c>
      <c r="I40" s="1274"/>
      <c r="J40" s="1314">
        <f>'Part IV-Uses of Funds'!$J$165*10*'Part IV-Uses of Funds'!$N$158</f>
        <v>4040051.25</v>
      </c>
      <c r="K40" s="1315"/>
      <c r="L40" s="653">
        <f>H40-J40</f>
        <v>-807.25</v>
      </c>
      <c r="M40" s="1073" t="s">
        <v>2536</v>
      </c>
      <c r="N40" s="1316"/>
      <c r="O40" s="1316"/>
      <c r="P40" s="1316"/>
      <c r="Q40" s="1317"/>
      <c r="S40" s="650">
        <f>H40/H50</f>
        <v>0.61296381895729912</v>
      </c>
    </row>
    <row r="41" spans="1:19" s="398" customFormat="1" ht="13.2" customHeight="1">
      <c r="A41" s="458"/>
      <c r="B41" s="1290" t="s">
        <v>1384</v>
      </c>
      <c r="C41" s="1291"/>
      <c r="D41" s="1292"/>
      <c r="E41" s="956" t="s">
        <v>3975</v>
      </c>
      <c r="F41" s="964"/>
      <c r="G41" s="957"/>
      <c r="H41" s="1273">
        <v>1346684</v>
      </c>
      <c r="I41" s="1274"/>
      <c r="J41" s="1314">
        <f>'Part IV-Uses of Funds'!$J$165*10*'Part IV-Uses of Funds'!$Q$158</f>
        <v>1346683.75</v>
      </c>
      <c r="K41" s="1315"/>
      <c r="L41" s="653">
        <f>H41-J41</f>
        <v>0.25</v>
      </c>
      <c r="M41" s="1318"/>
      <c r="N41" s="1311"/>
      <c r="O41" s="1311"/>
      <c r="P41" s="1311"/>
      <c r="Q41" s="1319"/>
      <c r="S41" s="650">
        <f>H41/H50</f>
        <v>0.20436214488867011</v>
      </c>
    </row>
    <row r="42" spans="1:19" s="398" customFormat="1" ht="13.2" customHeight="1">
      <c r="A42" s="458"/>
      <c r="B42" s="1290" t="s">
        <v>2119</v>
      </c>
      <c r="C42" s="1291"/>
      <c r="D42" s="1292"/>
      <c r="E42" s="956"/>
      <c r="F42" s="964"/>
      <c r="G42" s="957"/>
      <c r="H42" s="1273"/>
      <c r="I42" s="1274"/>
      <c r="M42" s="558" t="s">
        <v>3020</v>
      </c>
      <c r="N42" s="559" t="s">
        <v>3021</v>
      </c>
      <c r="O42" s="558">
        <v>8</v>
      </c>
      <c r="P42" s="558">
        <v>9</v>
      </c>
      <c r="Q42" s="558">
        <v>10</v>
      </c>
      <c r="S42" s="651">
        <f>SUM(S40:S41)</f>
        <v>0.81732596384596923</v>
      </c>
    </row>
    <row r="43" spans="1:19" s="398" customFormat="1" ht="13.2" customHeight="1">
      <c r="A43" s="458"/>
      <c r="B43" s="720" t="s">
        <v>823</v>
      </c>
      <c r="C43" s="721"/>
      <c r="D43" s="722"/>
      <c r="E43" s="956"/>
      <c r="F43" s="964"/>
      <c r="G43" s="957"/>
      <c r="H43" s="1273"/>
      <c r="I43" s="1274"/>
      <c r="K43" s="458"/>
      <c r="L43" s="458"/>
      <c r="M43" s="558" t="s">
        <v>3022</v>
      </c>
      <c r="N43" s="879"/>
      <c r="O43" s="879"/>
      <c r="P43" s="879"/>
      <c r="Q43" s="879"/>
      <c r="S43" s="458"/>
    </row>
    <row r="44" spans="1:19" s="398" customFormat="1" ht="13.2" customHeight="1">
      <c r="A44" s="458"/>
      <c r="B44" s="720" t="s">
        <v>2923</v>
      </c>
      <c r="C44" s="721"/>
      <c r="D44" s="722"/>
      <c r="E44" s="956"/>
      <c r="F44" s="964"/>
      <c r="G44" s="957"/>
      <c r="H44" s="1273"/>
      <c r="I44" s="1274"/>
      <c r="J44" s="458"/>
      <c r="M44" s="560">
        <v>11</v>
      </c>
      <c r="N44" s="560">
        <v>12</v>
      </c>
      <c r="O44" s="715">
        <v>13</v>
      </c>
      <c r="P44" s="558">
        <v>14</v>
      </c>
      <c r="Q44" s="558">
        <v>15</v>
      </c>
    </row>
    <row r="45" spans="1:19" s="398" customFormat="1" ht="13.2" customHeight="1">
      <c r="A45" s="458"/>
      <c r="B45" s="720" t="s">
        <v>2924</v>
      </c>
      <c r="C45" s="721"/>
      <c r="D45" s="722"/>
      <c r="E45" s="956"/>
      <c r="F45" s="964"/>
      <c r="G45" s="957"/>
      <c r="H45" s="1273"/>
      <c r="I45" s="1274"/>
      <c r="J45" s="458"/>
      <c r="M45" s="879"/>
      <c r="N45" s="879"/>
      <c r="O45" s="879"/>
      <c r="P45" s="879"/>
      <c r="Q45" s="879"/>
    </row>
    <row r="46" spans="1:19" s="398" customFormat="1" ht="13.2" customHeight="1">
      <c r="A46" s="458"/>
      <c r="B46" s="720" t="s">
        <v>1229</v>
      </c>
      <c r="C46" s="956"/>
      <c r="D46" s="957"/>
      <c r="E46" s="956"/>
      <c r="F46" s="964"/>
      <c r="G46" s="957"/>
      <c r="H46" s="1273"/>
      <c r="I46" s="1274"/>
      <c r="J46" s="458"/>
      <c r="M46" s="558">
        <v>16</v>
      </c>
      <c r="N46" s="558">
        <v>17</v>
      </c>
      <c r="O46" s="558">
        <v>18</v>
      </c>
      <c r="P46" s="719">
        <v>19</v>
      </c>
      <c r="Q46" s="719">
        <v>20</v>
      </c>
    </row>
    <row r="47" spans="1:19" s="398" customFormat="1" ht="13.2" customHeight="1">
      <c r="A47" s="458"/>
      <c r="B47" s="720" t="s">
        <v>1229</v>
      </c>
      <c r="C47" s="956"/>
      <c r="D47" s="957"/>
      <c r="E47" s="956"/>
      <c r="F47" s="964"/>
      <c r="G47" s="957"/>
      <c r="H47" s="1273"/>
      <c r="I47" s="1274"/>
      <c r="J47" s="458"/>
      <c r="K47" s="458"/>
      <c r="L47" s="558"/>
      <c r="M47" s="879"/>
      <c r="N47" s="879"/>
      <c r="O47" s="879"/>
      <c r="P47" s="879"/>
      <c r="Q47" s="879"/>
    </row>
    <row r="48" spans="1:19" s="398" customFormat="1" ht="13.2" customHeight="1">
      <c r="A48" s="458"/>
      <c r="B48" s="726" t="s">
        <v>1229</v>
      </c>
      <c r="C48" s="956"/>
      <c r="D48" s="957"/>
      <c r="E48" s="956"/>
      <c r="F48" s="964"/>
      <c r="G48" s="957"/>
      <c r="H48" s="1273"/>
      <c r="I48" s="1274"/>
      <c r="J48" s="458"/>
      <c r="K48" s="458"/>
      <c r="L48" s="558"/>
      <c r="M48" s="719">
        <v>21</v>
      </c>
      <c r="N48" s="719">
        <v>22</v>
      </c>
      <c r="O48" s="719">
        <v>23</v>
      </c>
      <c r="P48" s="719">
        <v>24</v>
      </c>
      <c r="Q48" s="719">
        <v>25</v>
      </c>
    </row>
    <row r="49" spans="1:17" s="398" customFormat="1" ht="13.2" customHeight="1">
      <c r="A49" s="458"/>
      <c r="B49" s="713" t="s">
        <v>3332</v>
      </c>
      <c r="C49" s="458"/>
      <c r="D49" s="458"/>
      <c r="E49" s="458"/>
      <c r="F49" s="458"/>
      <c r="G49" s="458"/>
      <c r="H49" s="1271">
        <f>SUM(H32:I48)</f>
        <v>6589694</v>
      </c>
      <c r="I49" s="1272"/>
      <c r="J49" s="482"/>
      <c r="K49" s="458"/>
      <c r="L49" s="558"/>
      <c r="M49" s="879"/>
      <c r="N49" s="879"/>
      <c r="O49" s="879"/>
      <c r="P49" s="879"/>
      <c r="Q49" s="879"/>
    </row>
    <row r="50" spans="1:17" s="398" customFormat="1" ht="13.2" customHeight="1" thickBot="1">
      <c r="A50" s="458"/>
      <c r="B50" s="713" t="s">
        <v>3333</v>
      </c>
      <c r="C50" s="458"/>
      <c r="D50" s="458"/>
      <c r="E50" s="458"/>
      <c r="F50" s="458"/>
      <c r="G50" s="458"/>
      <c r="H50" s="1269">
        <f>'Part IV-Uses of Funds'!$G$123</f>
        <v>6589694</v>
      </c>
      <c r="I50" s="1270"/>
      <c r="J50" s="482"/>
      <c r="K50" s="458"/>
      <c r="L50" s="558"/>
      <c r="M50" s="719">
        <v>26</v>
      </c>
      <c r="N50" s="719">
        <v>27</v>
      </c>
      <c r="O50" s="719">
        <v>28</v>
      </c>
      <c r="P50" s="719">
        <v>29</v>
      </c>
      <c r="Q50" s="719">
        <v>30</v>
      </c>
    </row>
    <row r="51" spans="1:17" s="398" customFormat="1" ht="13.2" customHeight="1" thickBot="1">
      <c r="A51" s="458"/>
      <c r="B51" s="464" t="s">
        <v>2275</v>
      </c>
      <c r="C51" s="458"/>
      <c r="D51" s="458"/>
      <c r="E51" s="458"/>
      <c r="F51" s="458"/>
      <c r="G51" s="458"/>
      <c r="H51" s="1298">
        <f>H49-H50</f>
        <v>0</v>
      </c>
      <c r="I51" s="1299"/>
      <c r="J51" s="482"/>
      <c r="K51" s="458"/>
      <c r="L51" s="558"/>
      <c r="M51" s="879"/>
      <c r="N51" s="879"/>
      <c r="O51" s="879"/>
      <c r="P51" s="879"/>
      <c r="Q51" s="87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878</v>
      </c>
      <c r="C53" s="482"/>
      <c r="D53" s="482"/>
      <c r="E53" s="482"/>
      <c r="F53" s="482"/>
      <c r="G53" s="482"/>
      <c r="H53" s="482"/>
      <c r="I53" s="482"/>
      <c r="J53" s="482"/>
      <c r="K53" s="461" t="s">
        <v>2822</v>
      </c>
      <c r="L53" s="461" t="s">
        <v>89</v>
      </c>
      <c r="M53" s="482"/>
      <c r="N53" s="482"/>
      <c r="O53" s="482"/>
      <c r="P53" s="482"/>
      <c r="Q53" s="482"/>
    </row>
    <row r="54" spans="1:17" ht="5.4" customHeight="1">
      <c r="B54" s="519"/>
    </row>
    <row r="55" spans="1:17" ht="51" customHeight="1">
      <c r="A55" s="1008" t="s">
        <v>4044</v>
      </c>
      <c r="B55" s="1258"/>
      <c r="C55" s="1258"/>
      <c r="D55" s="1258"/>
      <c r="E55" s="1258"/>
      <c r="F55" s="1258"/>
      <c r="G55" s="1258"/>
      <c r="H55" s="1258"/>
      <c r="I55" s="1258"/>
      <c r="J55" s="1259"/>
      <c r="K55" s="1011"/>
      <c r="L55" s="1258"/>
      <c r="M55" s="1258"/>
      <c r="N55" s="1258"/>
      <c r="O55" s="1258"/>
      <c r="P55" s="1258"/>
      <c r="Q55" s="1259"/>
    </row>
    <row r="56" spans="1:17" ht="51" customHeight="1">
      <c r="A56" s="1005" t="s">
        <v>4034</v>
      </c>
      <c r="B56" s="1260"/>
      <c r="C56" s="1260"/>
      <c r="D56" s="1260"/>
      <c r="E56" s="1260"/>
      <c r="F56" s="1260"/>
      <c r="G56" s="1260"/>
      <c r="H56" s="1260"/>
      <c r="I56" s="1260"/>
      <c r="J56" s="1261"/>
      <c r="K56" s="1002"/>
      <c r="L56" s="1260"/>
      <c r="M56" s="1260"/>
      <c r="N56" s="1260"/>
      <c r="O56" s="1260"/>
      <c r="P56" s="1260"/>
      <c r="Q56" s="1261"/>
    </row>
    <row r="57" spans="1:17" s="398" customFormat="1" ht="51" customHeight="1">
      <c r="A57" s="1005"/>
      <c r="B57" s="1260"/>
      <c r="C57" s="1260"/>
      <c r="D57" s="1260"/>
      <c r="E57" s="1260"/>
      <c r="F57" s="1260"/>
      <c r="G57" s="1260"/>
      <c r="H57" s="1260"/>
      <c r="I57" s="1260"/>
      <c r="J57" s="1261"/>
      <c r="K57" s="1002"/>
      <c r="L57" s="1260"/>
      <c r="M57" s="1260"/>
      <c r="N57" s="1260"/>
      <c r="O57" s="1260"/>
      <c r="P57" s="1260"/>
      <c r="Q57" s="1261"/>
    </row>
    <row r="58" spans="1:17" ht="51" customHeight="1">
      <c r="A58" s="1014"/>
      <c r="B58" s="1296"/>
      <c r="C58" s="1296"/>
      <c r="D58" s="1296"/>
      <c r="E58" s="1296"/>
      <c r="F58" s="1296"/>
      <c r="G58" s="1296"/>
      <c r="H58" s="1296"/>
      <c r="I58" s="1296"/>
      <c r="J58" s="1297"/>
      <c r="K58" s="1017"/>
      <c r="L58" s="1296"/>
      <c r="M58" s="1296"/>
      <c r="N58" s="1296"/>
      <c r="O58" s="1296"/>
      <c r="P58" s="1296"/>
      <c r="Q58" s="1297"/>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C20" sheet="1" objects="1" scenarios="1" formatCells="0"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328" t="str">
        <f>CONCATENATE("PART III B: USD 538 LOAN","  -  ",'Part I-Project Information'!$O$4," ",'Part I-Project Information'!$F$22,", ",'Part I-Project Information'!$F$24,", ",'Part I-Project Information'!$J$25," County")</f>
        <v>PART III B: USD 538 LOAN  -  2011-003 Pecan Point Apartments, Cochran, Bleckley County</v>
      </c>
      <c r="B1" s="1329"/>
      <c r="C1" s="1329"/>
      <c r="D1" s="1329"/>
      <c r="E1" s="1329"/>
      <c r="F1" s="1330"/>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337" t="s">
        <v>278</v>
      </c>
      <c r="B3" s="1337"/>
      <c r="C3" s="1337"/>
      <c r="D3" s="1337"/>
      <c r="E3" s="1337"/>
      <c r="F3" s="1337"/>
      <c r="G3" s="275"/>
      <c r="H3" s="275"/>
    </row>
    <row r="4" spans="1:17" s="264" customFormat="1" ht="6" customHeight="1"/>
    <row r="5" spans="1:17">
      <c r="A5" s="42" t="s">
        <v>3384</v>
      </c>
      <c r="B5" s="42"/>
      <c r="C5" s="874"/>
      <c r="D5" s="374">
        <f>IF(C5&gt;1500000,1500000,0)</f>
        <v>0</v>
      </c>
      <c r="E5" s="375">
        <f>IF(C5&gt;1500000,C5-1500000,0)</f>
        <v>0</v>
      </c>
    </row>
    <row r="6" spans="1:17">
      <c r="A6" s="42" t="s">
        <v>3734</v>
      </c>
      <c r="B6" s="300" t="s">
        <v>744</v>
      </c>
      <c r="C6" s="376">
        <v>0</v>
      </c>
      <c r="D6" s="160" t="s">
        <v>745</v>
      </c>
      <c r="E6" s="42"/>
    </row>
    <row r="7" spans="1:17">
      <c r="A7" s="42"/>
      <c r="B7" s="300" t="s">
        <v>3750</v>
      </c>
      <c r="C7" s="875"/>
      <c r="D7" s="160" t="s">
        <v>2658</v>
      </c>
      <c r="E7" s="42"/>
    </row>
    <row r="8" spans="1:17" ht="13.2" customHeight="1">
      <c r="A8" s="42" t="s">
        <v>3738</v>
      </c>
      <c r="B8" s="42"/>
      <c r="C8" s="376">
        <v>0</v>
      </c>
      <c r="D8" s="160" t="s">
        <v>2659</v>
      </c>
      <c r="E8" s="42"/>
    </row>
    <row r="9" spans="1:17">
      <c r="A9" s="42" t="s">
        <v>2092</v>
      </c>
      <c r="B9" s="42"/>
      <c r="C9" s="876"/>
      <c r="D9" s="42"/>
      <c r="E9" s="42"/>
    </row>
    <row r="10" spans="1:17">
      <c r="A10" s="42" t="s">
        <v>2093</v>
      </c>
      <c r="B10" s="42"/>
      <c r="C10" s="876"/>
      <c r="D10" s="42"/>
      <c r="E10" s="42"/>
    </row>
    <row r="11" spans="1:17">
      <c r="A11" s="42" t="s">
        <v>2090</v>
      </c>
      <c r="B11" s="42"/>
      <c r="C11" s="377" t="e">
        <f>PMT(C7/12,C10*12,-C5,0,0)*12</f>
        <v>#NUM!</v>
      </c>
      <c r="D11" s="374" t="e">
        <f>PMT($C$7/12,$C$10*12,-D5,0,0)*12</f>
        <v>#NUM!</v>
      </c>
      <c r="E11" s="374" t="e">
        <f>PMT($C$7/12,$C$10*12,-E5,0,0)*12</f>
        <v>#NUM!</v>
      </c>
    </row>
    <row r="12" spans="1:17">
      <c r="A12" s="42" t="s">
        <v>2091</v>
      </c>
      <c r="B12" s="42"/>
      <c r="C12" s="378" t="e">
        <f>C11/12</f>
        <v>#NUM!</v>
      </c>
      <c r="D12" s="374" t="e">
        <f>D11/12</f>
        <v>#NUM!</v>
      </c>
      <c r="E12" s="374" t="e">
        <f>E11/12</f>
        <v>#NUM!</v>
      </c>
    </row>
    <row r="13" spans="1:17" ht="10.95" customHeight="1">
      <c r="A13" s="275"/>
      <c r="B13" s="275"/>
      <c r="C13" s="275"/>
      <c r="D13" s="275"/>
      <c r="E13" s="275"/>
      <c r="F13" s="275"/>
      <c r="G13" s="275"/>
      <c r="H13" s="275"/>
    </row>
    <row r="14" spans="1:17" ht="12.6" customHeight="1">
      <c r="A14" s="1338" t="s">
        <v>143</v>
      </c>
      <c r="B14" s="1338"/>
      <c r="C14" s="1338"/>
      <c r="D14" s="1338"/>
      <c r="E14" s="1338"/>
      <c r="F14" s="1338"/>
      <c r="G14" s="275"/>
      <c r="H14" s="275"/>
    </row>
    <row r="15" spans="1:17" ht="5.4" customHeight="1">
      <c r="A15" s="34"/>
      <c r="E15" s="288"/>
      <c r="F15" s="275"/>
      <c r="G15" s="275"/>
      <c r="H15" s="275"/>
    </row>
    <row r="16" spans="1:17" ht="13.2" customHeight="1">
      <c r="A16" s="290" t="s">
        <v>3752</v>
      </c>
      <c r="B16" s="731" t="s">
        <v>3748</v>
      </c>
      <c r="C16" s="731" t="s">
        <v>3749</v>
      </c>
      <c r="D16" s="1334" t="s">
        <v>3383</v>
      </c>
      <c r="E16" s="1334"/>
      <c r="F16" s="275"/>
      <c r="G16" s="275"/>
      <c r="H16" s="275"/>
    </row>
    <row r="17" spans="1:8" ht="12.6" customHeight="1">
      <c r="A17" s="111">
        <v>1</v>
      </c>
      <c r="B17" s="265">
        <f>IF(A17&gt;$C$9,0,SUM(C64:C75)*($C$6/$C$7))</f>
        <v>0</v>
      </c>
      <c r="C17" s="289">
        <f>IF(A17&gt;C9,0,(E63+K63)*$C$8)</f>
        <v>0</v>
      </c>
      <c r="D17" s="1339">
        <f t="shared" ref="D17:D56" si="0">IF(A17&gt;$C$9,0,$C$11+C17)</f>
        <v>0</v>
      </c>
      <c r="E17" s="1339"/>
      <c r="F17" s="275"/>
      <c r="G17" s="275"/>
      <c r="H17" s="275"/>
    </row>
    <row r="18" spans="1:8" ht="12.6" customHeight="1">
      <c r="A18" s="111">
        <v>2</v>
      </c>
      <c r="B18" s="265">
        <f>IF(A18&gt;C9,0,SUM(C76:C87)*($C$6/$C$7))</f>
        <v>0</v>
      </c>
      <c r="C18" s="293">
        <f>IF(A18&gt;C9,0,(E75+K75)*$C$8)</f>
        <v>0</v>
      </c>
      <c r="D18" s="1331">
        <f t="shared" si="0"/>
        <v>0</v>
      </c>
      <c r="E18" s="1331"/>
      <c r="F18" s="275"/>
      <c r="G18" s="275"/>
      <c r="H18" s="275"/>
    </row>
    <row r="19" spans="1:8" ht="12.6" customHeight="1">
      <c r="A19" s="111">
        <v>3</v>
      </c>
      <c r="B19" s="265">
        <f>IF(A19&gt;C9,0,SUM(C88:C99)*($C$6/$C$7))</f>
        <v>0</v>
      </c>
      <c r="C19" s="289">
        <f>IF(A19&gt;C9,0,(E87+K87)*$C$8)</f>
        <v>0</v>
      </c>
      <c r="D19" s="1331">
        <f t="shared" si="0"/>
        <v>0</v>
      </c>
      <c r="E19" s="1331"/>
      <c r="F19" s="275"/>
      <c r="G19" s="275"/>
      <c r="H19" s="275"/>
    </row>
    <row r="20" spans="1:8" ht="12.6" customHeight="1">
      <c r="A20" s="111">
        <v>4</v>
      </c>
      <c r="B20" s="265">
        <f>IF(A20&gt;C9,0,SUM(C100:C111)*($C$6/$C$7))</f>
        <v>0</v>
      </c>
      <c r="C20" s="289">
        <f>IF(A20&gt;C9,0,(E99+K99)*$C$8)</f>
        <v>0</v>
      </c>
      <c r="D20" s="1331">
        <f t="shared" si="0"/>
        <v>0</v>
      </c>
      <c r="E20" s="1331"/>
      <c r="F20" s="275"/>
      <c r="G20" s="275"/>
      <c r="H20" s="275"/>
    </row>
    <row r="21" spans="1:8" ht="12.6" customHeight="1">
      <c r="A21" s="111">
        <v>5</v>
      </c>
      <c r="B21" s="265">
        <f>IF(A21&gt;C9,0,SUM(C112:C123)*($C$6/$C$7))</f>
        <v>0</v>
      </c>
      <c r="C21" s="289">
        <f>IF(A21&gt;C9,0,(E111+K111)*$C$8)</f>
        <v>0</v>
      </c>
      <c r="D21" s="1332">
        <f t="shared" si="0"/>
        <v>0</v>
      </c>
      <c r="E21" s="1332"/>
      <c r="F21" s="275"/>
      <c r="G21" s="275"/>
      <c r="H21" s="275"/>
    </row>
    <row r="22" spans="1:8" ht="12.6" customHeight="1">
      <c r="A22" s="266">
        <v>6</v>
      </c>
      <c r="B22" s="267">
        <f>IF(A22&gt;C9,0,SUM(C124:C135)*($C$6/$C$7))</f>
        <v>0</v>
      </c>
      <c r="C22" s="730">
        <f>IF(A22&gt;C9,0,(E123+K123)*$C$8)</f>
        <v>0</v>
      </c>
      <c r="D22" s="1331">
        <f t="shared" si="0"/>
        <v>0</v>
      </c>
      <c r="E22" s="1331"/>
      <c r="F22" s="275"/>
      <c r="G22" s="275"/>
      <c r="H22" s="275"/>
    </row>
    <row r="23" spans="1:8" ht="12.6" customHeight="1">
      <c r="A23" s="268">
        <v>7</v>
      </c>
      <c r="B23" s="269">
        <f>IF(A23&gt;C9,0,SUM(C136:C147)*($C$6/$C$7))</f>
        <v>0</v>
      </c>
      <c r="C23" s="728">
        <f>IF(A23&gt;C9,0,(E135+K135)*$C$8)</f>
        <v>0</v>
      </c>
      <c r="D23" s="1331">
        <f t="shared" si="0"/>
        <v>0</v>
      </c>
      <c r="E23" s="1331"/>
      <c r="F23" s="275"/>
      <c r="G23" s="275"/>
      <c r="H23" s="275"/>
    </row>
    <row r="24" spans="1:8" ht="12.6" customHeight="1">
      <c r="A24" s="268">
        <v>8</v>
      </c>
      <c r="B24" s="269">
        <f>IF(A24&gt;C9,0,SUM(C148:C159)*($C$6/$C$7))</f>
        <v>0</v>
      </c>
      <c r="C24" s="728">
        <f>IF(A24&gt;C9,0,(E147+K147)*$C$8)</f>
        <v>0</v>
      </c>
      <c r="D24" s="1331">
        <f t="shared" si="0"/>
        <v>0</v>
      </c>
      <c r="E24" s="1331"/>
      <c r="F24" s="275"/>
      <c r="G24" s="275"/>
      <c r="H24" s="275"/>
    </row>
    <row r="25" spans="1:8" ht="12.6" customHeight="1">
      <c r="A25" s="268">
        <v>9</v>
      </c>
      <c r="B25" s="269">
        <f>IF(A25&gt;C9,0,SUM(C160:C171)*($C$6/$C$7))</f>
        <v>0</v>
      </c>
      <c r="C25" s="728">
        <f>IF(A25&gt;C9,0,(E159+K159)*$C$8)</f>
        <v>0</v>
      </c>
      <c r="D25" s="1331">
        <f t="shared" si="0"/>
        <v>0</v>
      </c>
      <c r="E25" s="1331"/>
      <c r="F25" s="275"/>
      <c r="G25" s="275"/>
      <c r="H25" s="275"/>
    </row>
    <row r="26" spans="1:8" ht="12.6" customHeight="1">
      <c r="A26" s="270">
        <v>10</v>
      </c>
      <c r="B26" s="271">
        <f>IF(A26&gt;C9,0,SUM(C172:C183)*($C$6/$C$7))</f>
        <v>0</v>
      </c>
      <c r="C26" s="729">
        <f>IF(A26&gt;C9,0,(E171+K171)*$C$8)</f>
        <v>0</v>
      </c>
      <c r="D26" s="1332">
        <f t="shared" si="0"/>
        <v>0</v>
      </c>
      <c r="E26" s="1332"/>
      <c r="F26" s="275"/>
      <c r="G26" s="275"/>
      <c r="H26" s="275"/>
    </row>
    <row r="27" spans="1:8" ht="12.6" customHeight="1">
      <c r="A27" s="272">
        <v>11</v>
      </c>
      <c r="B27" s="265">
        <f>IF(A27&gt;C9,0,SUM(C184:C195)*($C$6/$C$7))</f>
        <v>0</v>
      </c>
      <c r="C27" s="289">
        <f>IF(A27&gt;C9,0,(E183+K183)*$C$8)</f>
        <v>0</v>
      </c>
      <c r="D27" s="1331">
        <f t="shared" si="0"/>
        <v>0</v>
      </c>
      <c r="E27" s="1331"/>
      <c r="F27" s="275"/>
      <c r="G27" s="275"/>
      <c r="H27" s="275"/>
    </row>
    <row r="28" spans="1:8" ht="12.6" customHeight="1">
      <c r="A28" s="272">
        <v>12</v>
      </c>
      <c r="B28" s="265">
        <f>IF(A28&gt;C9,0,SUM(C196:C207)*($C$6/$C$7))</f>
        <v>0</v>
      </c>
      <c r="C28" s="289">
        <f>IF(A28&gt;C9,0,(E195+K195)*$C$8)</f>
        <v>0</v>
      </c>
      <c r="D28" s="1331">
        <f t="shared" si="0"/>
        <v>0</v>
      </c>
      <c r="E28" s="1331"/>
      <c r="F28" s="275"/>
      <c r="G28" s="275"/>
      <c r="H28" s="275"/>
    </row>
    <row r="29" spans="1:8" ht="12.6" customHeight="1">
      <c r="A29" s="272">
        <v>13</v>
      </c>
      <c r="B29" s="265">
        <f>IF(A29&gt;C9,0,SUM(C208:C219)*($C$6/$C$7))</f>
        <v>0</v>
      </c>
      <c r="C29" s="289">
        <f>IF(A29&gt;C9,0,(E207+K207)*$C$8)</f>
        <v>0</v>
      </c>
      <c r="D29" s="1331">
        <f t="shared" si="0"/>
        <v>0</v>
      </c>
      <c r="E29" s="1331"/>
      <c r="F29" s="275"/>
      <c r="G29" s="275"/>
      <c r="H29" s="275"/>
    </row>
    <row r="30" spans="1:8" ht="12.6" customHeight="1">
      <c r="A30" s="272">
        <v>14</v>
      </c>
      <c r="B30" s="265">
        <f>IF(A30&gt;C9,0,SUM(C220:C231)*($C$6/$C$7))</f>
        <v>0</v>
      </c>
      <c r="C30" s="289">
        <f>IF(A30&gt;C9,0,(E219+K219)*$C$8)</f>
        <v>0</v>
      </c>
      <c r="D30" s="1331">
        <f t="shared" si="0"/>
        <v>0</v>
      </c>
      <c r="E30" s="1331"/>
      <c r="F30" s="275"/>
      <c r="G30" s="275"/>
      <c r="H30" s="275"/>
    </row>
    <row r="31" spans="1:8" ht="12.6" customHeight="1">
      <c r="A31" s="272">
        <v>15</v>
      </c>
      <c r="B31" s="265">
        <f>IF(A31&gt;C9,0,SUM(C232:C243)*($C$6/$C$7))</f>
        <v>0</v>
      </c>
      <c r="C31" s="289">
        <f>IF(A31&gt;C9,0,(E231+K231)*$C$8)</f>
        <v>0</v>
      </c>
      <c r="D31" s="1332">
        <f t="shared" si="0"/>
        <v>0</v>
      </c>
      <c r="E31" s="1332"/>
      <c r="F31" s="275"/>
      <c r="G31" s="275"/>
      <c r="H31" s="275"/>
    </row>
    <row r="32" spans="1:8" ht="12.6" customHeight="1">
      <c r="A32" s="274">
        <v>16</v>
      </c>
      <c r="B32" s="267">
        <f>IF(A32&gt;C9,0,SUM(C244:C255)*($C$6/$C$7))</f>
        <v>0</v>
      </c>
      <c r="C32" s="730">
        <f>IF(A32&gt;C9,0,(E243+K243)*$C$8)</f>
        <v>0</v>
      </c>
      <c r="D32" s="1331">
        <f t="shared" si="0"/>
        <v>0</v>
      </c>
      <c r="E32" s="1331"/>
      <c r="F32" s="275"/>
      <c r="G32" s="275"/>
      <c r="H32" s="275"/>
    </row>
    <row r="33" spans="1:8" ht="12.6" customHeight="1">
      <c r="A33" s="268">
        <v>17</v>
      </c>
      <c r="B33" s="269">
        <f>IF(A33&gt;C9,0,SUM(C256:C267)*($C$6/$C$7))</f>
        <v>0</v>
      </c>
      <c r="C33" s="728">
        <f>IF(A33&gt;C9,0,(E255+K255)*$C$8)</f>
        <v>0</v>
      </c>
      <c r="D33" s="1331">
        <f t="shared" si="0"/>
        <v>0</v>
      </c>
      <c r="E33" s="1331"/>
      <c r="F33" s="275"/>
      <c r="G33" s="275"/>
      <c r="H33" s="275"/>
    </row>
    <row r="34" spans="1:8" ht="12.6" customHeight="1">
      <c r="A34" s="268">
        <v>18</v>
      </c>
      <c r="B34" s="269">
        <f>IF(A34&gt;C9,0,SUM(C268:C279)*($C$6/$C$7))</f>
        <v>0</v>
      </c>
      <c r="C34" s="728">
        <f>IF(A34&gt;C9,0,(E267+K267)*$C$8)</f>
        <v>0</v>
      </c>
      <c r="D34" s="1331">
        <f t="shared" si="0"/>
        <v>0</v>
      </c>
      <c r="E34" s="1331"/>
      <c r="F34" s="275"/>
      <c r="G34" s="275"/>
      <c r="H34" s="275"/>
    </row>
    <row r="35" spans="1:8" ht="12.6" customHeight="1">
      <c r="A35" s="268">
        <v>19</v>
      </c>
      <c r="B35" s="269">
        <f>IF(A35&gt;C9,0,SUM(C280:C291)*($C$6/$C$7))</f>
        <v>0</v>
      </c>
      <c r="C35" s="728">
        <f>IF(A35&gt;C9,0,(E279+K279)*$C$8)</f>
        <v>0</v>
      </c>
      <c r="D35" s="1331">
        <f t="shared" si="0"/>
        <v>0</v>
      </c>
      <c r="E35" s="1331"/>
      <c r="F35" s="275"/>
      <c r="G35" s="275"/>
      <c r="H35" s="275"/>
    </row>
    <row r="36" spans="1:8" ht="12.6" customHeight="1">
      <c r="A36" s="270">
        <v>20</v>
      </c>
      <c r="B36" s="271">
        <f>IF(A36&gt;C9,0,SUM(C292:C303)*($C$6/$C$7))</f>
        <v>0</v>
      </c>
      <c r="C36" s="729">
        <f>IF(A36&gt;C9,0,(E291+K291)*$C$8)</f>
        <v>0</v>
      </c>
      <c r="D36" s="1332">
        <f t="shared" si="0"/>
        <v>0</v>
      </c>
      <c r="E36" s="1332"/>
      <c r="F36" s="275"/>
      <c r="G36" s="275"/>
      <c r="H36" s="275"/>
    </row>
    <row r="37" spans="1:8" ht="12.6" customHeight="1">
      <c r="A37" s="111">
        <v>21</v>
      </c>
      <c r="B37" s="267">
        <f>IF(A37&gt;C9,0,SUM(C293:C304)*($C$6/$C$7))</f>
        <v>0</v>
      </c>
      <c r="C37" s="730">
        <f>IF(A37&gt;C9,0,(E303+K303)*$C$8)</f>
        <v>0</v>
      </c>
      <c r="D37" s="1333">
        <f t="shared" si="0"/>
        <v>0</v>
      </c>
      <c r="E37" s="1333"/>
      <c r="F37" s="275"/>
      <c r="G37" s="275"/>
      <c r="H37" s="275"/>
    </row>
    <row r="38" spans="1:8" ht="12.6" customHeight="1">
      <c r="A38" s="111">
        <v>22</v>
      </c>
      <c r="B38" s="269">
        <f>IF(A38&gt;C9,0,SUM(C294:C305)*($C$6/$C$7))</f>
        <v>0</v>
      </c>
      <c r="C38" s="728">
        <f>IF(A38&gt;C9,0,(E315+K315)*$C$8)</f>
        <v>0</v>
      </c>
      <c r="D38" s="1331">
        <f t="shared" si="0"/>
        <v>0</v>
      </c>
      <c r="E38" s="1331"/>
      <c r="F38" s="275"/>
      <c r="G38" s="275"/>
      <c r="H38" s="275"/>
    </row>
    <row r="39" spans="1:8" ht="12.6" customHeight="1">
      <c r="A39" s="111">
        <v>23</v>
      </c>
      <c r="B39" s="269">
        <f>IF(A39&gt;C9,0,SUM(C295:C306)*($C$6/$C$7))</f>
        <v>0</v>
      </c>
      <c r="C39" s="728">
        <f>IF(A39&gt;C9,0,(E327+K327)*$C$8)</f>
        <v>0</v>
      </c>
      <c r="D39" s="1331">
        <f t="shared" si="0"/>
        <v>0</v>
      </c>
      <c r="E39" s="1331"/>
      <c r="F39" s="275"/>
      <c r="G39" s="275"/>
      <c r="H39" s="275"/>
    </row>
    <row r="40" spans="1:8" ht="12.6" customHeight="1">
      <c r="A40" s="111">
        <v>24</v>
      </c>
      <c r="B40" s="269">
        <f>IF(A40&gt;C9,0,SUM(C296:C307)*($C$6/$C$7))</f>
        <v>0</v>
      </c>
      <c r="C40" s="728">
        <f>IF(A40&gt;C9,0,(E339+K339)*$C$8)</f>
        <v>0</v>
      </c>
      <c r="D40" s="1331">
        <f t="shared" si="0"/>
        <v>0</v>
      </c>
      <c r="E40" s="1331"/>
      <c r="F40" s="275"/>
      <c r="G40" s="275"/>
      <c r="H40" s="275"/>
    </row>
    <row r="41" spans="1:8" ht="12.6" customHeight="1">
      <c r="A41" s="111">
        <v>25</v>
      </c>
      <c r="B41" s="271">
        <f>IF(A41&gt;C9,0,SUM(C297:C308)*($C$6/$C$7))</f>
        <v>0</v>
      </c>
      <c r="C41" s="729">
        <f>IF(A41&gt;C9,0,(E351+K351)*$C$8)</f>
        <v>0</v>
      </c>
      <c r="D41" s="1332">
        <f t="shared" si="0"/>
        <v>0</v>
      </c>
      <c r="E41" s="1332"/>
      <c r="F41" s="275"/>
      <c r="G41" s="275"/>
      <c r="H41" s="275"/>
    </row>
    <row r="42" spans="1:8" ht="12.6" customHeight="1">
      <c r="A42" s="266">
        <v>26</v>
      </c>
      <c r="B42" s="267">
        <f>IF(A42&gt;C9,0,SUM(C298:C309)*($C$6/$C$7))</f>
        <v>0</v>
      </c>
      <c r="C42" s="730">
        <f>IF(A42&gt;C9,0,(E363+K363)*$C$8)</f>
        <v>0</v>
      </c>
      <c r="D42" s="1333">
        <f t="shared" si="0"/>
        <v>0</v>
      </c>
      <c r="E42" s="1333"/>
      <c r="F42" s="275"/>
      <c r="G42" s="275"/>
      <c r="H42" s="275"/>
    </row>
    <row r="43" spans="1:8" ht="12.6" customHeight="1">
      <c r="A43" s="268">
        <v>27</v>
      </c>
      <c r="B43" s="269">
        <f>IF(A43&gt;C9,0,SUM(C299:C310)*($C$6/$C$7))</f>
        <v>0</v>
      </c>
      <c r="C43" s="728">
        <f>IF(A43&gt;C9,0,(E375+K375)*$C$8)</f>
        <v>0</v>
      </c>
      <c r="D43" s="1331">
        <f t="shared" si="0"/>
        <v>0</v>
      </c>
      <c r="E43" s="1331"/>
      <c r="F43" s="275"/>
      <c r="G43" s="275"/>
      <c r="H43" s="275"/>
    </row>
    <row r="44" spans="1:8" ht="12.6" customHeight="1">
      <c r="A44" s="268">
        <v>28</v>
      </c>
      <c r="B44" s="269">
        <f>IF(A44&gt;C9,0,SUM(C300:C311)*($C$6/$C$7))</f>
        <v>0</v>
      </c>
      <c r="C44" s="728">
        <f>IF(A44&gt;C9,0,(E387+K387)*$C$8)</f>
        <v>0</v>
      </c>
      <c r="D44" s="1331">
        <f t="shared" si="0"/>
        <v>0</v>
      </c>
      <c r="E44" s="1331"/>
      <c r="F44" s="275"/>
      <c r="G44" s="275"/>
      <c r="H44" s="275"/>
    </row>
    <row r="45" spans="1:8" ht="12.6" customHeight="1">
      <c r="A45" s="268">
        <v>29</v>
      </c>
      <c r="B45" s="269">
        <f>IF(A45&gt;C9,0,SUM(C301:C312)*($C$6/$C$7))</f>
        <v>0</v>
      </c>
      <c r="C45" s="728">
        <f>IF(A45&gt;C9,0,(E411+K411)*$C$8)</f>
        <v>0</v>
      </c>
      <c r="D45" s="1331">
        <f t="shared" si="0"/>
        <v>0</v>
      </c>
      <c r="E45" s="1331"/>
      <c r="F45" s="275"/>
      <c r="G45" s="275"/>
      <c r="H45" s="275"/>
    </row>
    <row r="46" spans="1:8" ht="12.6" customHeight="1">
      <c r="A46" s="270">
        <v>30</v>
      </c>
      <c r="B46" s="271">
        <f>IF(A46&gt;C9,0,SUM(C302:C313)*($C$6/$C$7))</f>
        <v>0</v>
      </c>
      <c r="C46" s="729">
        <f>IF(A46&gt;C9,0,(E423+K423)*$C$8)</f>
        <v>0</v>
      </c>
      <c r="D46" s="1332">
        <f t="shared" si="0"/>
        <v>0</v>
      </c>
      <c r="E46" s="1332"/>
      <c r="F46" s="275"/>
      <c r="G46" s="275"/>
      <c r="H46" s="275"/>
    </row>
    <row r="47" spans="1:8" ht="12.6" customHeight="1">
      <c r="A47" s="274">
        <v>31</v>
      </c>
      <c r="B47" s="267">
        <f>IF(A47&gt;C9,0,SUM(C303:C314)*($C$6/$C$7))</f>
        <v>0</v>
      </c>
      <c r="C47" s="730">
        <f>IF(A47&gt;C9,0,(E435+K435)*$C$8)</f>
        <v>0</v>
      </c>
      <c r="D47" s="1333">
        <f t="shared" si="0"/>
        <v>0</v>
      </c>
      <c r="E47" s="1333"/>
      <c r="F47" s="275"/>
      <c r="G47" s="275"/>
      <c r="H47" s="275"/>
    </row>
    <row r="48" spans="1:8" ht="12.6" customHeight="1">
      <c r="A48" s="268">
        <v>32</v>
      </c>
      <c r="B48" s="269">
        <f>IF(A48&gt;C9,0,SUM(C304:C315)*($C$6/$C$7))</f>
        <v>0</v>
      </c>
      <c r="C48" s="728">
        <f>IF(A48&gt;C9,0,(E447+K447)*$C$8)</f>
        <v>0</v>
      </c>
      <c r="D48" s="1331">
        <f t="shared" si="0"/>
        <v>0</v>
      </c>
      <c r="E48" s="1331"/>
      <c r="F48" s="275"/>
      <c r="G48" s="275"/>
      <c r="H48" s="275"/>
    </row>
    <row r="49" spans="1:12" ht="12.6" customHeight="1">
      <c r="A49" s="268">
        <v>33</v>
      </c>
      <c r="B49" s="269">
        <f>IF(A49&gt;C9,0,SUM(C305:C316)*($C$6/$C$7))</f>
        <v>0</v>
      </c>
      <c r="C49" s="728">
        <f>IF(A49&gt;C9,0,(E459+K459)*$C$8)</f>
        <v>0</v>
      </c>
      <c r="D49" s="1331">
        <f t="shared" si="0"/>
        <v>0</v>
      </c>
      <c r="E49" s="1331"/>
      <c r="F49" s="275"/>
      <c r="G49" s="275"/>
      <c r="H49" s="275"/>
    </row>
    <row r="50" spans="1:12" ht="12.6" customHeight="1">
      <c r="A50" s="268">
        <v>34</v>
      </c>
      <c r="B50" s="269">
        <f>IF(A50&gt;C9,0,SUM(C306:C317)*($C$6/$C$7))</f>
        <v>0</v>
      </c>
      <c r="C50" s="728">
        <f>IF(A50&gt;C9,0,(E471+K471)*$C$8)</f>
        <v>0</v>
      </c>
      <c r="D50" s="1331">
        <f t="shared" si="0"/>
        <v>0</v>
      </c>
      <c r="E50" s="1331"/>
      <c r="F50" s="275"/>
      <c r="G50" s="275"/>
      <c r="H50" s="275"/>
    </row>
    <row r="51" spans="1:12" ht="12.6" customHeight="1">
      <c r="A51" s="270">
        <v>35</v>
      </c>
      <c r="B51" s="271">
        <f>IF(A51&gt;C9,0,SUM(C307:C318)*($C$6/$C$7))</f>
        <v>0</v>
      </c>
      <c r="C51" s="729">
        <f>IF(A51&gt;C9,0,(E483+K483)*$C$8)</f>
        <v>0</v>
      </c>
      <c r="D51" s="1332">
        <f t="shared" si="0"/>
        <v>0</v>
      </c>
      <c r="E51" s="1332"/>
      <c r="F51" s="275"/>
      <c r="G51" s="275"/>
      <c r="H51" s="275"/>
    </row>
    <row r="52" spans="1:12" ht="12.6" customHeight="1">
      <c r="A52" s="274">
        <v>36</v>
      </c>
      <c r="B52" s="267">
        <f>IF(A52&gt;C9,0,SUM(C308:C319)*($C$6/$C$7))</f>
        <v>0</v>
      </c>
      <c r="C52" s="730">
        <f>IF(A52&gt;C9,0,(E495+K495)*$C$8)</f>
        <v>0</v>
      </c>
      <c r="D52" s="1333">
        <f t="shared" si="0"/>
        <v>0</v>
      </c>
      <c r="E52" s="1333"/>
      <c r="F52" s="275"/>
      <c r="G52" s="275"/>
      <c r="H52" s="275"/>
    </row>
    <row r="53" spans="1:12" ht="12.6" customHeight="1">
      <c r="A53" s="268">
        <v>37</v>
      </c>
      <c r="B53" s="269">
        <f>IF(A53&gt;C9,0,SUM(C309:C320)*($C$6/$C$7))</f>
        <v>0</v>
      </c>
      <c r="C53" s="728">
        <f>IF(A53&gt;C9,0,(E507+K507)*$C$8)</f>
        <v>0</v>
      </c>
      <c r="D53" s="1331">
        <f t="shared" si="0"/>
        <v>0</v>
      </c>
      <c r="E53" s="1331"/>
      <c r="F53" s="275"/>
      <c r="G53" s="275"/>
      <c r="H53" s="275"/>
    </row>
    <row r="54" spans="1:12" ht="12.6" customHeight="1">
      <c r="A54" s="268">
        <v>38</v>
      </c>
      <c r="B54" s="269">
        <f>IF(A54&gt;C9,0,SUM(C310:C321)*($C$6/$C$7))</f>
        <v>0</v>
      </c>
      <c r="C54" s="728">
        <f>IF(A54&gt;C9,0,(E519+K519)*$C$8)</f>
        <v>0</v>
      </c>
      <c r="D54" s="1331">
        <f t="shared" si="0"/>
        <v>0</v>
      </c>
      <c r="E54" s="1331"/>
      <c r="F54" s="275"/>
      <c r="G54" s="275"/>
      <c r="H54" s="275"/>
    </row>
    <row r="55" spans="1:12" ht="12.6" customHeight="1">
      <c r="A55" s="268">
        <v>39</v>
      </c>
      <c r="B55" s="269">
        <f>IF(A55&gt;C9,0,SUM(C311:C322)*($C$6/$C$7))</f>
        <v>0</v>
      </c>
      <c r="C55" s="728">
        <f>IF(A55&gt;C9,0,(E531+K531)*$C$8)</f>
        <v>0</v>
      </c>
      <c r="D55" s="1331">
        <f t="shared" si="0"/>
        <v>0</v>
      </c>
      <c r="E55" s="1331"/>
      <c r="F55" s="275"/>
      <c r="G55" s="275"/>
      <c r="H55" s="275"/>
    </row>
    <row r="56" spans="1:12" ht="12.6" customHeight="1">
      <c r="A56" s="270">
        <v>40</v>
      </c>
      <c r="B56" s="271">
        <f>IF(A56&gt;C9,0,SUM(C312:C323)*($C$6/$C$7))</f>
        <v>0</v>
      </c>
      <c r="C56" s="729">
        <f>IF(A56&gt;C9,0,(E543+K543)*$C$8)</f>
        <v>0</v>
      </c>
      <c r="D56" s="1332">
        <f t="shared" si="0"/>
        <v>0</v>
      </c>
      <c r="E56" s="1332"/>
      <c r="F56" s="275"/>
      <c r="G56" s="275"/>
      <c r="H56" s="275"/>
    </row>
    <row r="57" spans="1:12" ht="3" customHeight="1">
      <c r="A57" s="275"/>
      <c r="B57" s="275"/>
      <c r="C57" s="275"/>
      <c r="D57" s="275"/>
      <c r="E57" s="275"/>
      <c r="F57" s="275"/>
      <c r="G57" s="275"/>
      <c r="H57" s="275"/>
    </row>
    <row r="58" spans="1:12" ht="13.2" customHeight="1">
      <c r="A58" s="1335" t="str">
        <f>CONCATENATE('Part I-Project Information'!$O$4," ",'Part I-Project Information'!$F$22,", ",'Part I-Project Information'!$F$24,", ",'Part I-Project Information'!$J$25," County")</f>
        <v>2011-003 Pecan Point Apartments, Cochran, Bleckley County</v>
      </c>
      <c r="B58" s="1335"/>
      <c r="C58" s="1335"/>
      <c r="D58" s="1335"/>
      <c r="E58" s="1335"/>
      <c r="F58" s="1335"/>
      <c r="G58" s="1335" t="str">
        <f>CONCATENATE('Part I-Project Information'!$O$4," ",'Part I-Project Information'!$F$22,", ",'Part I-Project Information'!$F$24,", ",'Part I-Project Information'!$J$25," County")</f>
        <v>2011-003 Pecan Point Apartments, Cochran, Bleckley County</v>
      </c>
      <c r="H58" s="1335"/>
      <c r="I58" s="1335"/>
      <c r="J58" s="1335"/>
      <c r="K58" s="1335"/>
      <c r="L58" s="1335"/>
    </row>
    <row r="59" spans="1:12" ht="13.8">
      <c r="A59" s="1336" t="s">
        <v>3742</v>
      </c>
      <c r="B59" s="1336"/>
      <c r="C59" s="1336"/>
      <c r="D59" s="1336"/>
      <c r="E59" s="1336"/>
      <c r="F59" s="1336"/>
      <c r="G59" s="1336" t="s">
        <v>3742</v>
      </c>
      <c r="H59" s="1336"/>
      <c r="I59" s="1336"/>
      <c r="J59" s="1336"/>
      <c r="K59" s="1336"/>
      <c r="L59" s="1336"/>
    </row>
    <row r="60" spans="1:12" ht="6" customHeight="1">
      <c r="C60" s="273"/>
      <c r="D60" s="273"/>
      <c r="I60" s="273"/>
      <c r="J60" s="273"/>
    </row>
    <row r="61" spans="1:12">
      <c r="A61" s="276" t="s">
        <v>3743</v>
      </c>
      <c r="B61" s="277" t="s">
        <v>3744</v>
      </c>
      <c r="C61" s="277" t="s">
        <v>1993</v>
      </c>
      <c r="D61" s="277" t="s">
        <v>3745</v>
      </c>
      <c r="E61" s="276" t="s">
        <v>3746</v>
      </c>
      <c r="F61" s="307" t="s">
        <v>3752</v>
      </c>
      <c r="G61" s="276" t="s">
        <v>3743</v>
      </c>
      <c r="H61" s="277" t="s">
        <v>3744</v>
      </c>
      <c r="I61" s="277" t="s">
        <v>1993</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C20" sheet="1" objects="1" scenarios="1" formatCells="0" formatColumns="0" formatRows="0"/>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8" sqref="D8"/>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328" t="str">
        <f>CONCATENATE("PART III C  - HUD INSURED LOAN","  -  ",'Part I-Project Information'!$O$4," ",'Part I-Project Information'!$F$22,", ",'Part I-Project Information'!$F$24,", ",'Part I-Project Information'!$J$25," County")</f>
        <v>PART III C  - HUD INSURED LOAN  -  2011-003 Pecan Point Apartments, Cochran, Bleckley County</v>
      </c>
      <c r="B1" s="1329"/>
      <c r="C1" s="1329"/>
      <c r="D1" s="1329"/>
      <c r="E1" s="1329"/>
      <c r="F1" s="1330"/>
      <c r="G1" s="231"/>
      <c r="H1" s="231"/>
      <c r="I1" s="231"/>
      <c r="J1" s="231"/>
      <c r="K1" s="231"/>
      <c r="L1" s="231"/>
      <c r="M1" s="231"/>
      <c r="N1" s="231"/>
      <c r="O1" s="231"/>
      <c r="P1" s="231"/>
      <c r="Q1" s="231"/>
    </row>
    <row r="2" spans="1:17">
      <c r="A2" s="16"/>
      <c r="B2" s="264"/>
      <c r="C2" s="264"/>
      <c r="D2" s="264"/>
    </row>
    <row r="3" spans="1:17" ht="15.6" customHeight="1">
      <c r="A3" s="1337" t="s">
        <v>278</v>
      </c>
      <c r="B3" s="1337"/>
      <c r="C3" s="1337"/>
      <c r="D3" s="1337"/>
      <c r="E3" s="1337"/>
      <c r="F3" s="1337"/>
      <c r="G3" s="317"/>
      <c r="H3" s="317"/>
    </row>
    <row r="4" spans="1:17">
      <c r="A4" s="16"/>
      <c r="B4" s="264"/>
      <c r="C4" s="264"/>
      <c r="D4" s="264"/>
    </row>
    <row r="5" spans="1:17" ht="13.2" customHeight="1">
      <c r="A5" s="31" t="s">
        <v>3384</v>
      </c>
      <c r="D5" s="870"/>
      <c r="E5" s="1340" t="s">
        <v>1551</v>
      </c>
      <c r="F5" s="1341"/>
      <c r="G5" s="219"/>
    </row>
    <row r="6" spans="1:17">
      <c r="E6" s="1341"/>
      <c r="F6" s="1341"/>
      <c r="G6" s="219"/>
    </row>
    <row r="7" spans="1:17">
      <c r="A7" s="31" t="s">
        <v>3734</v>
      </c>
      <c r="C7" s="31" t="s">
        <v>3735</v>
      </c>
      <c r="D7" s="871"/>
      <c r="E7" s="1341"/>
      <c r="F7" s="1341"/>
      <c r="G7" s="219"/>
    </row>
    <row r="8" spans="1:17">
      <c r="C8" s="31" t="s">
        <v>3736</v>
      </c>
      <c r="D8" s="871"/>
      <c r="E8" s="1341"/>
      <c r="F8" s="1341"/>
      <c r="G8" s="219"/>
    </row>
    <row r="9" spans="1:17">
      <c r="C9" s="31" t="s">
        <v>3737</v>
      </c>
      <c r="D9" s="871"/>
      <c r="E9" s="1341"/>
      <c r="F9" s="1341"/>
      <c r="G9" s="219"/>
    </row>
    <row r="10" spans="1:17">
      <c r="C10" s="31" t="s">
        <v>3750</v>
      </c>
      <c r="D10" s="318">
        <f>D7+D8+D9</f>
        <v>0</v>
      </c>
      <c r="E10" s="1341"/>
      <c r="F10" s="1341"/>
      <c r="G10" s="219"/>
    </row>
    <row r="11" spans="1:17">
      <c r="F11" s="219"/>
      <c r="G11" s="219"/>
    </row>
    <row r="12" spans="1:17">
      <c r="A12" s="31" t="s">
        <v>2740</v>
      </c>
      <c r="D12" s="872"/>
      <c r="E12" s="31" t="s">
        <v>3229</v>
      </c>
      <c r="F12" s="219"/>
      <c r="G12" s="219"/>
    </row>
    <row r="13" spans="1:17">
      <c r="D13" s="273"/>
      <c r="F13" s="219"/>
      <c r="G13" s="219"/>
    </row>
    <row r="14" spans="1:17">
      <c r="A14" s="31" t="s">
        <v>3739</v>
      </c>
      <c r="D14" s="873"/>
      <c r="E14" s="31" t="s">
        <v>3740</v>
      </c>
      <c r="F14" s="319"/>
    </row>
    <row r="15" spans="1:17">
      <c r="D15" s="292"/>
      <c r="F15" s="319"/>
    </row>
    <row r="16" spans="1:17">
      <c r="A16" s="31" t="s">
        <v>3741</v>
      </c>
      <c r="D16" s="873"/>
      <c r="E16" s="31" t="s">
        <v>3740</v>
      </c>
      <c r="F16" s="319"/>
    </row>
    <row r="17" spans="1:10">
      <c r="D17" s="273"/>
      <c r="F17" s="319"/>
    </row>
    <row r="18" spans="1:10">
      <c r="A18" s="31" t="s">
        <v>1524</v>
      </c>
      <c r="D18" s="320" t="e">
        <f>PMT(D10/12,D16*12,-D5,0,0)*12</f>
        <v>#NUM!</v>
      </c>
      <c r="E18" s="31" t="s">
        <v>2244</v>
      </c>
      <c r="F18" s="319"/>
    </row>
    <row r="19" spans="1:10">
      <c r="D19" s="273"/>
      <c r="F19" s="319"/>
    </row>
    <row r="20" spans="1:10">
      <c r="A20" s="31" t="s">
        <v>2245</v>
      </c>
      <c r="D20" s="273" t="e">
        <f>D18/12</f>
        <v>#NUM!</v>
      </c>
      <c r="E20" s="31" t="s">
        <v>2244</v>
      </c>
      <c r="F20" s="319"/>
    </row>
    <row r="24" spans="1:10" ht="18" customHeight="1">
      <c r="A24" s="1338" t="s">
        <v>2741</v>
      </c>
      <c r="B24" s="1338"/>
      <c r="C24" s="1338"/>
      <c r="D24" s="1338"/>
      <c r="E24" s="1338"/>
      <c r="F24" s="1338"/>
      <c r="J24" s="321"/>
    </row>
    <row r="25" spans="1:10">
      <c r="C25" s="273"/>
      <c r="J25" s="321"/>
    </row>
    <row r="26" spans="1:10">
      <c r="A26" s="141"/>
      <c r="B26" s="111"/>
      <c r="C26" s="1342" t="s">
        <v>3383</v>
      </c>
      <c r="D26" s="316"/>
      <c r="E26" s="111"/>
      <c r="F26" s="1342" t="s">
        <v>3383</v>
      </c>
      <c r="J26" s="321"/>
    </row>
    <row r="27" spans="1:10">
      <c r="A27" s="322" t="s">
        <v>3752</v>
      </c>
      <c r="B27" s="736" t="s">
        <v>1645</v>
      </c>
      <c r="C27" s="1343"/>
      <c r="D27" s="323" t="s">
        <v>3752</v>
      </c>
      <c r="E27" s="736" t="s">
        <v>1645</v>
      </c>
      <c r="F27" s="1343"/>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335" t="str">
        <f>CONCATENATE('Part I-Project Information'!$O$4," ",'Part I-Project Information'!$F$22,", ",'Part I-Project Information'!$F$24,", ",'Part I-Project Information'!$J$25," County")</f>
        <v>2011-003 Pecan Point Apartments, Cochran, Bleckley County</v>
      </c>
      <c r="B50" s="1335"/>
      <c r="C50" s="1335"/>
      <c r="D50" s="1335"/>
      <c r="E50" s="1335"/>
      <c r="F50" s="1335"/>
      <c r="G50" s="300"/>
      <c r="H50" s="300"/>
    </row>
    <row r="51" spans="1:10" ht="13.8">
      <c r="A51" s="1336" t="s">
        <v>3742</v>
      </c>
      <c r="B51" s="1336"/>
      <c r="C51" s="1336"/>
      <c r="D51" s="1336"/>
      <c r="E51" s="1336"/>
      <c r="F51" s="1336"/>
      <c r="G51" s="333"/>
      <c r="H51" s="333"/>
      <c r="I51" s="333"/>
      <c r="J51" s="333"/>
    </row>
    <row r="52" spans="1:10" ht="5.4" customHeight="1">
      <c r="C52" s="273"/>
      <c r="D52" s="273"/>
      <c r="G52" s="278"/>
      <c r="H52" s="272"/>
      <c r="I52" s="278"/>
    </row>
    <row r="53" spans="1:10">
      <c r="A53" s="276" t="s">
        <v>3743</v>
      </c>
      <c r="B53" s="276" t="s">
        <v>3744</v>
      </c>
      <c r="C53" s="276" t="s">
        <v>1993</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C20" sheet="1" objects="1" scenarios="1" formatCells="0" formatColumns="0" formatRows="0"/>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zoomScale="175" zoomScaleNormal="175" zoomScaleSheetLayoutView="90" workbookViewId="0">
      <selection activeCell="C14" sqref="C14:F14"/>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436" t="str">
        <f>CONCATENATE("PART FOUR -  USES OF FUNDS","  -  ",'Part I-Project Information'!$O$4," ",'Part I-Project Information'!$F$22,", ",'Part I-Project Information'!F24,", ",'Part I-Project Information'!J25," County")</f>
        <v>PART FOUR -  USES OF FUNDS  -  2011-003 Pecan Point Apartments, Cochran, Bleckley County</v>
      </c>
      <c r="B1" s="1437"/>
      <c r="C1" s="1437"/>
      <c r="D1" s="1437"/>
      <c r="E1" s="1437"/>
      <c r="F1" s="1437"/>
      <c r="G1" s="1437"/>
      <c r="H1" s="1437"/>
      <c r="I1" s="1437"/>
      <c r="J1" s="1437"/>
      <c r="K1" s="1437"/>
      <c r="L1" s="1437"/>
      <c r="M1" s="1437"/>
      <c r="N1" s="1437"/>
      <c r="O1" s="1437"/>
      <c r="P1" s="1437"/>
      <c r="Q1" s="1437"/>
      <c r="R1" s="1437"/>
      <c r="S1" s="1437"/>
      <c r="T1" s="1437"/>
    </row>
    <row r="2" spans="1:21" ht="4.95" customHeight="1"/>
    <row r="3" spans="1:21" s="458" customFormat="1" ht="15" customHeight="1">
      <c r="A3" s="1438" t="s">
        <v>358</v>
      </c>
      <c r="B3" s="1438"/>
      <c r="C3" s="1438"/>
      <c r="D3" s="1438"/>
      <c r="E3" s="1438"/>
      <c r="F3" s="1438"/>
      <c r="G3" s="1438"/>
      <c r="H3" s="1438"/>
      <c r="I3" s="1438"/>
      <c r="J3" s="1438"/>
      <c r="K3" s="1438"/>
      <c r="L3" s="1438"/>
      <c r="M3" s="1438"/>
      <c r="N3" s="1438"/>
      <c r="O3" s="1438"/>
      <c r="P3" s="1438"/>
      <c r="Q3" s="1438"/>
      <c r="R3" s="1438"/>
      <c r="S3" s="1438"/>
      <c r="T3" s="1438"/>
    </row>
    <row r="4" spans="1:21" s="458" customFormat="1" ht="1.95"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949</v>
      </c>
      <c r="B5" s="461" t="s">
        <v>1493</v>
      </c>
      <c r="H5" s="721"/>
      <c r="I5" s="721"/>
      <c r="J5" s="1344" t="s">
        <v>359</v>
      </c>
      <c r="K5" s="1345"/>
      <c r="L5" s="522"/>
      <c r="M5" s="1421" t="s">
        <v>719</v>
      </c>
      <c r="N5" s="1422"/>
      <c r="P5" s="1344" t="s">
        <v>360</v>
      </c>
      <c r="Q5" s="1345"/>
      <c r="S5" s="1344" t="s">
        <v>361</v>
      </c>
      <c r="T5" s="1345"/>
    </row>
    <row r="6" spans="1:21" s="458" customFormat="1" ht="21" customHeight="1" thickBot="1">
      <c r="G6" s="1428" t="s">
        <v>115</v>
      </c>
      <c r="H6" s="1429"/>
      <c r="J6" s="1346"/>
      <c r="K6" s="1347"/>
      <c r="L6" s="522"/>
      <c r="M6" s="1423"/>
      <c r="N6" s="1424"/>
      <c r="P6" s="1346"/>
      <c r="Q6" s="1347"/>
      <c r="S6" s="1346"/>
      <c r="T6" s="1347"/>
    </row>
    <row r="7" spans="1:21" s="458" customFormat="1" ht="13.2" customHeight="1">
      <c r="B7" s="461" t="s">
        <v>116</v>
      </c>
      <c r="O7" s="735" t="str">
        <f>B7</f>
        <v>PRE-DEVELOPMENT COSTS</v>
      </c>
    </row>
    <row r="8" spans="1:21" s="458" customFormat="1" ht="12.6" customHeight="1">
      <c r="B8" s="458" t="s">
        <v>3077</v>
      </c>
      <c r="G8" s="1255">
        <v>5000</v>
      </c>
      <c r="H8" s="1256"/>
      <c r="J8" s="1255"/>
      <c r="K8" s="1256"/>
      <c r="L8" s="733"/>
      <c r="M8" s="1255"/>
      <c r="N8" s="1256"/>
      <c r="P8" s="1255">
        <v>5000</v>
      </c>
      <c r="Q8" s="1256"/>
      <c r="S8" s="1255"/>
      <c r="T8" s="1256"/>
    </row>
    <row r="9" spans="1:21" s="458" customFormat="1" ht="12.6" customHeight="1">
      <c r="B9" s="458" t="s">
        <v>671</v>
      </c>
      <c r="G9" s="1255">
        <v>9500</v>
      </c>
      <c r="H9" s="1256"/>
      <c r="J9" s="1255"/>
      <c r="K9" s="1256"/>
      <c r="L9" s="733"/>
      <c r="M9" s="1255"/>
      <c r="N9" s="1256"/>
      <c r="P9" s="1255">
        <v>9500</v>
      </c>
      <c r="Q9" s="1256"/>
      <c r="S9" s="1255"/>
      <c r="T9" s="1256"/>
    </row>
    <row r="10" spans="1:21" s="458" customFormat="1" ht="12.6" customHeight="1">
      <c r="B10" s="458" t="s">
        <v>716</v>
      </c>
      <c r="G10" s="1255">
        <v>14000</v>
      </c>
      <c r="H10" s="1256"/>
      <c r="J10" s="1255"/>
      <c r="K10" s="1256"/>
      <c r="L10" s="733"/>
      <c r="M10" s="1255"/>
      <c r="N10" s="1256"/>
      <c r="P10" s="1255">
        <v>14000</v>
      </c>
      <c r="Q10" s="1256"/>
      <c r="S10" s="1255"/>
      <c r="T10" s="1256"/>
    </row>
    <row r="11" spans="1:21" s="458" customFormat="1" ht="12.6" customHeight="1">
      <c r="B11" s="458" t="s">
        <v>717</v>
      </c>
      <c r="G11" s="1255"/>
      <c r="H11" s="1256"/>
      <c r="J11" s="1255"/>
      <c r="K11" s="1256"/>
      <c r="L11" s="733"/>
      <c r="M11" s="1255"/>
      <c r="N11" s="1256"/>
      <c r="P11" s="1255"/>
      <c r="Q11" s="1256"/>
      <c r="S11" s="1255"/>
      <c r="T11" s="1256"/>
    </row>
    <row r="12" spans="1:21" s="458" customFormat="1" ht="12.6" customHeight="1">
      <c r="B12" s="458" t="s">
        <v>3778</v>
      </c>
      <c r="G12" s="1255">
        <v>10000</v>
      </c>
      <c r="H12" s="1256"/>
      <c r="J12" s="1255"/>
      <c r="K12" s="1256"/>
      <c r="L12" s="733"/>
      <c r="M12" s="1255"/>
      <c r="N12" s="1256"/>
      <c r="P12" s="1255">
        <v>10000</v>
      </c>
      <c r="Q12" s="1256"/>
      <c r="S12" s="1255"/>
      <c r="T12" s="1256"/>
    </row>
    <row r="13" spans="1:21" s="458" customFormat="1" ht="12.6" customHeight="1">
      <c r="B13" s="458" t="s">
        <v>248</v>
      </c>
      <c r="G13" s="1255"/>
      <c r="H13" s="1256"/>
      <c r="J13" s="1255"/>
      <c r="K13" s="1256"/>
      <c r="L13" s="733"/>
      <c r="M13" s="1255"/>
      <c r="N13" s="1256"/>
      <c r="P13" s="1255"/>
      <c r="Q13" s="1256"/>
      <c r="S13" s="1255"/>
      <c r="T13" s="1256"/>
    </row>
    <row r="14" spans="1:21" s="458" customFormat="1" ht="12.6" customHeight="1">
      <c r="A14" s="562" t="str">
        <f>IF(AND(G14&gt;0,OR(C14="",C14="&lt;Enter detailed description here; use Comments section if needed&gt;")),"X","")</f>
        <v/>
      </c>
      <c r="B14" s="458" t="s">
        <v>1229</v>
      </c>
      <c r="C14" s="1039" t="s">
        <v>3976</v>
      </c>
      <c r="D14" s="1039"/>
      <c r="E14" s="1039"/>
      <c r="F14" s="1040"/>
      <c r="G14" s="1255">
        <v>8000</v>
      </c>
      <c r="H14" s="1256"/>
      <c r="J14" s="1255"/>
      <c r="K14" s="1256"/>
      <c r="L14" s="733"/>
      <c r="M14" s="1255"/>
      <c r="N14" s="1256"/>
      <c r="P14" s="1255">
        <v>8000</v>
      </c>
      <c r="Q14" s="1256"/>
      <c r="S14" s="1255"/>
      <c r="T14" s="1256"/>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039"/>
      <c r="D15" s="1039"/>
      <c r="E15" s="1039"/>
      <c r="F15" s="1040"/>
      <c r="G15" s="1255"/>
      <c r="H15" s="1256"/>
      <c r="J15" s="1255"/>
      <c r="K15" s="1256"/>
      <c r="L15" s="733"/>
      <c r="M15" s="1255"/>
      <c r="N15" s="1256"/>
      <c r="P15" s="1255"/>
      <c r="Q15" s="1256"/>
      <c r="S15" s="1255"/>
      <c r="T15" s="1256"/>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039"/>
      <c r="D16" s="1039"/>
      <c r="E16" s="1039"/>
      <c r="F16" s="1040"/>
      <c r="G16" s="1255"/>
      <c r="H16" s="1256"/>
      <c r="J16" s="1425"/>
      <c r="K16" s="1426"/>
      <c r="L16" s="733"/>
      <c r="M16" s="1255"/>
      <c r="N16" s="1256"/>
      <c r="P16" s="1255"/>
      <c r="Q16" s="1256"/>
      <c r="S16" s="1425"/>
      <c r="T16" s="142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1348">
        <f>SUM(G8:H16)</f>
        <v>46500</v>
      </c>
      <c r="H17" s="1349"/>
      <c r="J17" s="1348">
        <f>SUM(J8:K16)</f>
        <v>0</v>
      </c>
      <c r="K17" s="1427"/>
      <c r="L17" s="733"/>
      <c r="M17" s="1348">
        <f>SUM(M8:N16)</f>
        <v>0</v>
      </c>
      <c r="N17" s="1349"/>
      <c r="P17" s="1348">
        <f>SUM(P8:Q16)</f>
        <v>46500</v>
      </c>
      <c r="Q17" s="1349"/>
      <c r="S17" s="1348">
        <f>SUM(S8:T16)</f>
        <v>0</v>
      </c>
      <c r="T17" s="1349"/>
    </row>
    <row r="18" spans="2:20" s="458" customFormat="1" ht="13.2" customHeight="1">
      <c r="B18" s="461" t="s">
        <v>3304</v>
      </c>
      <c r="J18" s="522"/>
      <c r="K18" s="522"/>
      <c r="M18" s="522"/>
      <c r="N18" s="522"/>
      <c r="O18" s="524" t="str">
        <f>B18</f>
        <v>ACQUISITION</v>
      </c>
      <c r="P18" s="522"/>
      <c r="Q18" s="522"/>
      <c r="S18" s="522"/>
      <c r="T18" s="522"/>
    </row>
    <row r="19" spans="2:20" s="458" customFormat="1" ht="12.6" customHeight="1">
      <c r="B19" s="458" t="s">
        <v>3305</v>
      </c>
      <c r="G19" s="1255">
        <v>120000</v>
      </c>
      <c r="H19" s="1256"/>
      <c r="J19" s="525"/>
      <c r="K19" s="522"/>
      <c r="L19" s="525"/>
      <c r="M19" s="525"/>
      <c r="N19" s="522"/>
      <c r="P19" s="525"/>
      <c r="Q19" s="522"/>
      <c r="S19" s="1255">
        <v>120000</v>
      </c>
      <c r="T19" s="1256"/>
    </row>
    <row r="20" spans="2:20" s="458" customFormat="1" ht="12.6" customHeight="1">
      <c r="B20" s="458" t="s">
        <v>1749</v>
      </c>
      <c r="G20" s="1255"/>
      <c r="H20" s="1256"/>
      <c r="J20" s="525"/>
      <c r="K20" s="522"/>
      <c r="L20" s="525"/>
      <c r="M20" s="525"/>
      <c r="N20" s="522"/>
      <c r="P20" s="525"/>
      <c r="Q20" s="522"/>
      <c r="S20" s="1255"/>
      <c r="T20" s="1256"/>
    </row>
    <row r="21" spans="2:20" s="458" customFormat="1" ht="12.6" customHeight="1">
      <c r="B21" s="458" t="s">
        <v>672</v>
      </c>
      <c r="G21" s="1255">
        <v>10000</v>
      </c>
      <c r="H21" s="1256"/>
      <c r="J21" s="525"/>
      <c r="K21" s="522"/>
      <c r="L21" s="525"/>
      <c r="M21" s="1255">
        <v>10000</v>
      </c>
      <c r="N21" s="1256"/>
      <c r="P21" s="525"/>
      <c r="Q21" s="522"/>
      <c r="S21" s="1255"/>
      <c r="T21" s="1256"/>
    </row>
    <row r="22" spans="2:20" s="458" customFormat="1" ht="12.6" customHeight="1" thickBot="1">
      <c r="B22" s="458" t="s">
        <v>637</v>
      </c>
      <c r="G22" s="1419">
        <v>1382959</v>
      </c>
      <c r="H22" s="1420"/>
      <c r="J22" s="525"/>
      <c r="K22" s="522"/>
      <c r="L22" s="525"/>
      <c r="M22" s="1419">
        <v>1382959</v>
      </c>
      <c r="N22" s="1420"/>
      <c r="P22" s="525"/>
      <c r="Q22" s="522"/>
      <c r="S22" s="1255"/>
      <c r="T22" s="1256"/>
    </row>
    <row r="23" spans="2:20" s="458" customFormat="1" ht="12.6" customHeight="1" thickTop="1">
      <c r="F23" s="523" t="s">
        <v>249</v>
      </c>
      <c r="G23" s="1348">
        <f>SUM(G19:H22)</f>
        <v>1512959</v>
      </c>
      <c r="H23" s="1349"/>
      <c r="J23" s="525"/>
      <c r="K23" s="522"/>
      <c r="L23" s="525"/>
      <c r="M23" s="1348">
        <f>SUM(M21:N22)</f>
        <v>1392959</v>
      </c>
      <c r="N23" s="1349"/>
      <c r="P23" s="525"/>
      <c r="Q23" s="522"/>
      <c r="S23" s="1348">
        <f>SUM(S19:T22)</f>
        <v>120000</v>
      </c>
      <c r="T23" s="1349"/>
    </row>
    <row r="24" spans="2:20" s="458" customFormat="1" ht="13.2" customHeight="1">
      <c r="B24" s="461" t="s">
        <v>1750</v>
      </c>
      <c r="J24" s="525"/>
      <c r="K24" s="522"/>
      <c r="M24" s="525"/>
      <c r="N24" s="522"/>
      <c r="O24" s="524" t="str">
        <f>B24</f>
        <v>LAND IMPROVEMENTS</v>
      </c>
      <c r="P24" s="525"/>
      <c r="Q24" s="522"/>
      <c r="S24" s="525"/>
      <c r="T24" s="522"/>
    </row>
    <row r="25" spans="2:20" s="458" customFormat="1" ht="12.6" customHeight="1">
      <c r="B25" s="458" t="s">
        <v>1751</v>
      </c>
      <c r="G25" s="1255">
        <v>98456</v>
      </c>
      <c r="H25" s="1256"/>
      <c r="J25" s="1425"/>
      <c r="K25" s="1426"/>
      <c r="L25" s="733"/>
      <c r="M25" s="1425"/>
      <c r="N25" s="1426"/>
      <c r="P25" s="1425">
        <v>98456</v>
      </c>
      <c r="Q25" s="1426"/>
      <c r="S25" s="1255"/>
      <c r="T25" s="1256"/>
    </row>
    <row r="26" spans="2:20" s="458" customFormat="1" ht="12.6" customHeight="1" thickBot="1">
      <c r="B26" s="458" t="s">
        <v>1752</v>
      </c>
      <c r="G26" s="1255"/>
      <c r="H26" s="1256"/>
      <c r="J26" s="1425"/>
      <c r="K26" s="1426"/>
      <c r="L26" s="526"/>
      <c r="M26" s="1435"/>
      <c r="N26" s="1435"/>
      <c r="P26" s="1435"/>
      <c r="Q26" s="1435"/>
      <c r="S26" s="1255"/>
      <c r="T26" s="1256"/>
    </row>
    <row r="27" spans="2:20" s="458" customFormat="1" ht="12.6" customHeight="1" thickTop="1">
      <c r="F27" s="523" t="s">
        <v>249</v>
      </c>
      <c r="G27" s="1348">
        <f>SUM(G25:H26)</f>
        <v>98456</v>
      </c>
      <c r="H27" s="1349"/>
      <c r="J27" s="1348">
        <f>SUM(J25:K26)</f>
        <v>0</v>
      </c>
      <c r="K27" s="1349"/>
      <c r="L27" s="525"/>
      <c r="M27" s="1348">
        <f>M25</f>
        <v>0</v>
      </c>
      <c r="N27" s="1349"/>
      <c r="P27" s="1348">
        <f>P25</f>
        <v>98456</v>
      </c>
      <c r="Q27" s="1349"/>
      <c r="S27" s="1348">
        <f>SUM(S25:T26)</f>
        <v>0</v>
      </c>
      <c r="T27" s="1349"/>
    </row>
    <row r="28" spans="2:20" s="458" customFormat="1" ht="13.2" customHeight="1">
      <c r="B28" s="461" t="s">
        <v>1753</v>
      </c>
      <c r="J28" s="525"/>
      <c r="K28" s="522"/>
      <c r="M28" s="525"/>
      <c r="N28" s="522"/>
      <c r="O28" s="524" t="str">
        <f>B28</f>
        <v>STRUCTURES</v>
      </c>
      <c r="P28" s="525"/>
      <c r="Q28" s="522"/>
      <c r="S28" s="525"/>
      <c r="T28" s="522"/>
    </row>
    <row r="29" spans="2:20" s="458" customFormat="1" ht="12.6" customHeight="1">
      <c r="B29" s="458" t="s">
        <v>1754</v>
      </c>
      <c r="G29" s="1255"/>
      <c r="H29" s="1256"/>
      <c r="J29" s="1255"/>
      <c r="K29" s="1256"/>
      <c r="L29" s="733"/>
      <c r="M29" s="1255"/>
      <c r="N29" s="1256"/>
      <c r="P29" s="1255"/>
      <c r="Q29" s="1256"/>
      <c r="S29" s="1255"/>
      <c r="T29" s="1256"/>
    </row>
    <row r="30" spans="2:20" s="458" customFormat="1" ht="12.6" customHeight="1">
      <c r="B30" s="458" t="s">
        <v>1755</v>
      </c>
      <c r="G30" s="1255">
        <v>2569446</v>
      </c>
      <c r="H30" s="1256"/>
      <c r="J30" s="1255"/>
      <c r="K30" s="1256"/>
      <c r="L30" s="733"/>
      <c r="M30" s="1255"/>
      <c r="N30" s="1256"/>
      <c r="P30" s="1255">
        <v>2569446</v>
      </c>
      <c r="Q30" s="1256"/>
      <c r="S30" s="1255"/>
      <c r="T30" s="1256"/>
    </row>
    <row r="31" spans="2:20" ht="12.6" customHeight="1" thickBot="1">
      <c r="B31" s="458" t="s">
        <v>1756</v>
      </c>
      <c r="G31" s="1255">
        <v>89482</v>
      </c>
      <c r="H31" s="1256"/>
      <c r="I31" s="458"/>
      <c r="J31" s="1255"/>
      <c r="K31" s="1256"/>
      <c r="L31" s="733"/>
      <c r="M31" s="1255"/>
      <c r="N31" s="1256"/>
      <c r="O31" s="458"/>
      <c r="P31" s="1255">
        <v>89482</v>
      </c>
      <c r="Q31" s="1256"/>
      <c r="R31" s="458"/>
      <c r="S31" s="1255"/>
      <c r="T31" s="1256"/>
    </row>
    <row r="32" spans="2:20" s="458" customFormat="1" ht="12.6" customHeight="1" thickTop="1">
      <c r="C32" s="1430"/>
      <c r="D32" s="1430"/>
      <c r="E32" s="734"/>
      <c r="F32" s="523" t="s">
        <v>249</v>
      </c>
      <c r="G32" s="1348">
        <f>SUM(G29:H31)</f>
        <v>2658928</v>
      </c>
      <c r="H32" s="1349"/>
      <c r="J32" s="1348">
        <f>SUM(J29:K31)</f>
        <v>0</v>
      </c>
      <c r="K32" s="1349"/>
      <c r="L32" s="733"/>
      <c r="M32" s="1348">
        <f>SUM(M29:N31)</f>
        <v>0</v>
      </c>
      <c r="N32" s="1349"/>
      <c r="P32" s="1348">
        <f>SUM(P29:Q31)</f>
        <v>2658928</v>
      </c>
      <c r="Q32" s="1349"/>
      <c r="S32" s="1348">
        <f>SUM(S29:T31)</f>
        <v>0</v>
      </c>
      <c r="T32" s="1349"/>
    </row>
    <row r="33" spans="1:20" s="458" customFormat="1" ht="13.2" customHeight="1">
      <c r="B33" s="461" t="s">
        <v>3491</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165443.04</v>
      </c>
      <c r="G34" s="1255">
        <v>165443</v>
      </c>
      <c r="H34" s="1256"/>
      <c r="I34" s="482"/>
      <c r="J34" s="1255"/>
      <c r="K34" s="1256"/>
      <c r="L34" s="733"/>
      <c r="M34" s="1255"/>
      <c r="N34" s="1256"/>
      <c r="P34" s="1255">
        <v>165443</v>
      </c>
      <c r="Q34" s="1256"/>
      <c r="S34" s="1255"/>
      <c r="T34" s="1256"/>
    </row>
    <row r="35" spans="1:20" s="458" customFormat="1" ht="12.6" customHeight="1" thickBot="1">
      <c r="B35" s="458" t="s">
        <v>3128</v>
      </c>
      <c r="E35" s="619">
        <f>'DCA Underwriting Assumptions'!$R$39+'DCA Underwriting Assumptions'!$R$40</f>
        <v>0.08</v>
      </c>
      <c r="F35" s="620">
        <f>E35*($G$27+$G$32)</f>
        <v>220590.72</v>
      </c>
      <c r="G35" s="1255">
        <v>220591</v>
      </c>
      <c r="H35" s="1256"/>
      <c r="I35" s="482"/>
      <c r="J35" s="1255"/>
      <c r="K35" s="1256"/>
      <c r="L35" s="733"/>
      <c r="M35" s="1255"/>
      <c r="N35" s="1256"/>
      <c r="P35" s="1255">
        <v>220591</v>
      </c>
      <c r="Q35" s="1256"/>
      <c r="S35" s="1255"/>
      <c r="T35" s="1256"/>
    </row>
    <row r="36" spans="1:20" s="458" customFormat="1" ht="12.6" customHeight="1" thickTop="1">
      <c r="B36" s="458" t="s">
        <v>3129</v>
      </c>
      <c r="D36" s="530"/>
      <c r="E36" s="721"/>
      <c r="F36" s="621" t="s">
        <v>249</v>
      </c>
      <c r="G36" s="1348">
        <f>SUM(G34:H35)</f>
        <v>386034</v>
      </c>
      <c r="H36" s="1349"/>
      <c r="J36" s="1348">
        <f>SUM(J34:K35)</f>
        <v>0</v>
      </c>
      <c r="K36" s="1349"/>
      <c r="L36" s="525"/>
      <c r="M36" s="1348">
        <f>SUM(M34:N35)</f>
        <v>0</v>
      </c>
      <c r="N36" s="1349"/>
      <c r="P36" s="1348">
        <f>SUM(P34:Q35)</f>
        <v>386034</v>
      </c>
      <c r="Q36" s="1349"/>
      <c r="S36" s="1348">
        <f>SUM(S34:T35)</f>
        <v>0</v>
      </c>
      <c r="T36" s="134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1759</v>
      </c>
      <c r="C38" s="532"/>
      <c r="D38" s="533">
        <f>B39/'Part VI-Revenues &amp; Expenses'!$M$63</f>
        <v>64151.387755102041</v>
      </c>
      <c r="E38" s="533"/>
      <c r="F38" s="534" t="s">
        <v>2109</v>
      </c>
    </row>
    <row r="39" spans="1:20" s="458" customFormat="1" ht="12.6" customHeight="1">
      <c r="B39" s="1431">
        <f>G27+G32+G36</f>
        <v>3143418</v>
      </c>
      <c r="C39" s="1432"/>
      <c r="D39" s="535">
        <f>B39/'Part VI-Revenues &amp; Expenses'!$M$98</f>
        <v>78.610998574536723</v>
      </c>
      <c r="E39" s="535"/>
      <c r="F39" s="536" t="s">
        <v>1336</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2" customHeight="1">
      <c r="B41" s="461" t="s">
        <v>1757</v>
      </c>
      <c r="J41" s="525"/>
      <c r="K41" s="522"/>
      <c r="M41" s="525"/>
      <c r="N41" s="522"/>
      <c r="O41" s="524" t="str">
        <f>B41</f>
        <v>CONSTRUCTION CONTINGENCY</v>
      </c>
      <c r="P41" s="525"/>
      <c r="Q41" s="522"/>
      <c r="S41" s="525"/>
      <c r="T41" s="522"/>
    </row>
    <row r="42" spans="1:20" ht="12.6" customHeight="1">
      <c r="B42" s="458" t="s">
        <v>3036</v>
      </c>
      <c r="F42" s="646">
        <f>G42/$B$39</f>
        <v>6.9999917287487695E-2</v>
      </c>
      <c r="G42" s="1255">
        <v>220039</v>
      </c>
      <c r="H42" s="1256"/>
      <c r="I42" s="458"/>
      <c r="J42" s="1255"/>
      <c r="K42" s="1256"/>
      <c r="L42" s="733"/>
      <c r="M42" s="1255"/>
      <c r="N42" s="1256"/>
      <c r="O42" s="458"/>
      <c r="P42" s="1255">
        <v>220039</v>
      </c>
      <c r="Q42" s="1256"/>
      <c r="R42" s="458"/>
      <c r="S42" s="1255"/>
      <c r="T42" s="1256"/>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949</v>
      </c>
      <c r="B45" s="461" t="s">
        <v>1493</v>
      </c>
      <c r="H45" s="721"/>
      <c r="I45" s="721"/>
      <c r="J45" s="1344" t="s">
        <v>359</v>
      </c>
      <c r="K45" s="1345"/>
      <c r="L45" s="522"/>
      <c r="M45" s="1421" t="s">
        <v>719</v>
      </c>
      <c r="N45" s="1422"/>
      <c r="P45" s="1344" t="s">
        <v>360</v>
      </c>
      <c r="Q45" s="1345"/>
      <c r="S45" s="1344" t="s">
        <v>361</v>
      </c>
      <c r="T45" s="1345"/>
    </row>
    <row r="46" spans="1:20" s="458" customFormat="1" ht="21" customHeight="1" thickBot="1">
      <c r="G46" s="1428" t="s">
        <v>115</v>
      </c>
      <c r="H46" s="1429"/>
      <c r="J46" s="1346"/>
      <c r="K46" s="1347"/>
      <c r="L46" s="522"/>
      <c r="M46" s="1423"/>
      <c r="N46" s="1424"/>
      <c r="P46" s="1346"/>
      <c r="Q46" s="1347"/>
      <c r="S46" s="1346"/>
      <c r="T46" s="1347"/>
    </row>
    <row r="47" spans="1:20" s="458" customFormat="1" ht="13.2" customHeight="1">
      <c r="B47" s="461" t="s">
        <v>1090</v>
      </c>
      <c r="J47" s="525"/>
      <c r="K47" s="522"/>
      <c r="M47" s="525"/>
      <c r="N47" s="522"/>
      <c r="O47" s="524" t="str">
        <f>B47</f>
        <v>CONSTRUCTION PERIOD FINANCING</v>
      </c>
      <c r="P47" s="525"/>
      <c r="Q47" s="522"/>
      <c r="S47" s="525"/>
      <c r="T47" s="522"/>
    </row>
    <row r="48" spans="1:20" s="458" customFormat="1" ht="13.2" customHeight="1">
      <c r="B48" s="458" t="s">
        <v>3494</v>
      </c>
      <c r="G48" s="1255"/>
      <c r="H48" s="1256"/>
      <c r="J48" s="1255"/>
      <c r="K48" s="1256"/>
      <c r="L48" s="733"/>
      <c r="M48" s="1255"/>
      <c r="N48" s="1256"/>
      <c r="P48" s="1255"/>
      <c r="Q48" s="1256"/>
      <c r="S48" s="1255"/>
      <c r="T48" s="1256"/>
    </row>
    <row r="49" spans="1:21" s="458" customFormat="1" ht="13.2" customHeight="1">
      <c r="B49" s="458" t="s">
        <v>3495</v>
      </c>
      <c r="G49" s="1255">
        <v>30000</v>
      </c>
      <c r="H49" s="1256"/>
      <c r="J49" s="1255"/>
      <c r="K49" s="1256"/>
      <c r="L49" s="733"/>
      <c r="M49" s="1255"/>
      <c r="N49" s="1256"/>
      <c r="P49" s="1255">
        <v>30000</v>
      </c>
      <c r="Q49" s="1256"/>
      <c r="S49" s="1255"/>
      <c r="T49" s="1256"/>
    </row>
    <row r="50" spans="1:21" s="458" customFormat="1" ht="13.2" customHeight="1">
      <c r="B50" s="458" t="s">
        <v>3496</v>
      </c>
      <c r="G50" s="1255"/>
      <c r="H50" s="1256"/>
      <c r="J50" s="1255"/>
      <c r="K50" s="1256"/>
      <c r="L50" s="733"/>
      <c r="M50" s="1255"/>
      <c r="N50" s="1256"/>
      <c r="P50" s="1255"/>
      <c r="Q50" s="1256"/>
      <c r="S50" s="1255"/>
      <c r="T50" s="1256"/>
    </row>
    <row r="51" spans="1:21" s="458" customFormat="1" ht="13.2" customHeight="1">
      <c r="B51" s="458" t="s">
        <v>1091</v>
      </c>
      <c r="G51" s="1255">
        <v>15542</v>
      </c>
      <c r="H51" s="1256"/>
      <c r="J51" s="1255"/>
      <c r="K51" s="1256"/>
      <c r="L51" s="733"/>
      <c r="M51" s="1255"/>
      <c r="N51" s="1256"/>
      <c r="P51" s="1255">
        <v>7771</v>
      </c>
      <c r="Q51" s="1256"/>
      <c r="S51" s="1255">
        <v>7771</v>
      </c>
      <c r="T51" s="1256"/>
    </row>
    <row r="52" spans="1:21" s="458" customFormat="1" ht="13.2" customHeight="1">
      <c r="B52" s="458" t="s">
        <v>3497</v>
      </c>
      <c r="G52" s="1255">
        <v>25000</v>
      </c>
      <c r="H52" s="1256"/>
      <c r="J52" s="1255"/>
      <c r="K52" s="1256"/>
      <c r="L52" s="733"/>
      <c r="M52" s="1255"/>
      <c r="N52" s="1256"/>
      <c r="P52" s="1255">
        <v>25000</v>
      </c>
      <c r="Q52" s="1256"/>
      <c r="S52" s="1255"/>
      <c r="T52" s="1256"/>
    </row>
    <row r="53" spans="1:21" s="458" customFormat="1" ht="13.2" customHeight="1">
      <c r="B53" s="458" t="s">
        <v>371</v>
      </c>
      <c r="G53" s="1255"/>
      <c r="H53" s="1256"/>
      <c r="J53" s="1255"/>
      <c r="K53" s="1256"/>
      <c r="L53" s="733"/>
      <c r="M53" s="1255"/>
      <c r="N53" s="1256"/>
      <c r="P53" s="1255"/>
      <c r="Q53" s="1256"/>
      <c r="S53" s="1255"/>
      <c r="T53" s="1256"/>
    </row>
    <row r="54" spans="1:21" s="458" customFormat="1" ht="12.6" customHeight="1">
      <c r="B54" s="529" t="s">
        <v>1794</v>
      </c>
      <c r="D54" s="527"/>
      <c r="E54" s="527"/>
      <c r="F54" s="528"/>
      <c r="G54" s="1255">
        <v>31434</v>
      </c>
      <c r="H54" s="1256"/>
      <c r="I54" s="482"/>
      <c r="J54" s="1255"/>
      <c r="K54" s="1256"/>
      <c r="L54" s="733"/>
      <c r="M54" s="1255"/>
      <c r="N54" s="1256"/>
      <c r="P54" s="1255">
        <v>31434</v>
      </c>
      <c r="Q54" s="1256"/>
      <c r="S54" s="1255"/>
      <c r="T54" s="1256"/>
    </row>
    <row r="55" spans="1:21" s="458" customFormat="1" ht="13.2" customHeight="1" thickBot="1">
      <c r="A55" s="562" t="str">
        <f>IF(AND(G55&gt;0,OR(C55="",C55="&lt;Enter detailed description here; use Comments section if needed&gt;")),"X","")</f>
        <v/>
      </c>
      <c r="B55" s="458" t="s">
        <v>1229</v>
      </c>
      <c r="C55" s="1039"/>
      <c r="D55" s="1039"/>
      <c r="E55" s="1039"/>
      <c r="F55" s="1040"/>
      <c r="G55" s="1419"/>
      <c r="H55" s="1420"/>
      <c r="J55" s="1419"/>
      <c r="K55" s="1420"/>
      <c r="L55" s="733"/>
      <c r="M55" s="1419"/>
      <c r="N55" s="1420"/>
      <c r="P55" s="1419"/>
      <c r="Q55" s="1420"/>
      <c r="S55" s="1255"/>
      <c r="T55" s="1256"/>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249</v>
      </c>
      <c r="G56" s="1348">
        <f>SUM(G48:H55)</f>
        <v>101976</v>
      </c>
      <c r="H56" s="1349"/>
      <c r="J56" s="1348">
        <f>SUM(J48:K55)</f>
        <v>0</v>
      </c>
      <c r="K56" s="1349"/>
      <c r="L56" s="525"/>
      <c r="M56" s="1348">
        <f>SUM(M48:N55)</f>
        <v>0</v>
      </c>
      <c r="N56" s="1349"/>
      <c r="P56" s="1348">
        <f>SUM(P48:Q55)</f>
        <v>94205</v>
      </c>
      <c r="Q56" s="1349"/>
      <c r="S56" s="1348">
        <f>SUM(S48:T55)</f>
        <v>7771</v>
      </c>
      <c r="T56" s="1349"/>
    </row>
    <row r="57" spans="1:21" s="458" customFormat="1" ht="13.2" customHeight="1">
      <c r="B57" s="461" t="s">
        <v>704</v>
      </c>
      <c r="G57" s="522"/>
      <c r="H57" s="522"/>
      <c r="J57" s="522"/>
      <c r="K57" s="522"/>
      <c r="M57" s="522"/>
      <c r="N57" s="522"/>
      <c r="O57" s="524" t="str">
        <f>B57</f>
        <v>PROFESSIONAL SERVICES</v>
      </c>
      <c r="P57" s="522"/>
      <c r="Q57" s="522"/>
      <c r="S57" s="522"/>
      <c r="T57" s="522"/>
    </row>
    <row r="58" spans="1:21" s="458" customFormat="1" ht="13.2" customHeight="1">
      <c r="B58" s="458" t="s">
        <v>705</v>
      </c>
      <c r="G58" s="1255">
        <v>92800</v>
      </c>
      <c r="H58" s="1256"/>
      <c r="J58" s="1255"/>
      <c r="K58" s="1256"/>
      <c r="L58" s="733"/>
      <c r="M58" s="1255"/>
      <c r="N58" s="1256"/>
      <c r="P58" s="1255">
        <v>92800</v>
      </c>
      <c r="Q58" s="1256"/>
      <c r="S58" s="1255"/>
      <c r="T58" s="1256"/>
    </row>
    <row r="59" spans="1:21" s="458" customFormat="1" ht="13.2" customHeight="1">
      <c r="B59" s="458" t="s">
        <v>706</v>
      </c>
      <c r="G59" s="1255">
        <v>23200</v>
      </c>
      <c r="H59" s="1256"/>
      <c r="J59" s="1255"/>
      <c r="K59" s="1256"/>
      <c r="L59" s="733"/>
      <c r="M59" s="1255"/>
      <c r="N59" s="1256"/>
      <c r="P59" s="1255">
        <v>23200</v>
      </c>
      <c r="Q59" s="1256"/>
      <c r="S59" s="1255"/>
      <c r="T59" s="1256"/>
    </row>
    <row r="60" spans="1:21" s="458" customFormat="1" ht="13.2" customHeight="1">
      <c r="B60" s="458" t="s">
        <v>1760</v>
      </c>
      <c r="G60" s="1255">
        <v>20000</v>
      </c>
      <c r="H60" s="1256"/>
      <c r="J60" s="1255"/>
      <c r="K60" s="1256"/>
      <c r="L60" s="733"/>
      <c r="M60" s="1255"/>
      <c r="N60" s="1256"/>
      <c r="P60" s="1255">
        <v>20000</v>
      </c>
      <c r="Q60" s="1256"/>
      <c r="S60" s="1255"/>
      <c r="T60" s="1256"/>
    </row>
    <row r="61" spans="1:21" s="458" customFormat="1" ht="13.2" customHeight="1">
      <c r="B61" s="458" t="s">
        <v>1761</v>
      </c>
      <c r="G61" s="1255">
        <v>10000</v>
      </c>
      <c r="H61" s="1256"/>
      <c r="J61" s="1255"/>
      <c r="K61" s="1256"/>
      <c r="L61" s="733"/>
      <c r="M61" s="1255"/>
      <c r="N61" s="1256"/>
      <c r="P61" s="1255">
        <v>10000</v>
      </c>
      <c r="Q61" s="1256"/>
      <c r="S61" s="1255"/>
      <c r="T61" s="1256"/>
    </row>
    <row r="62" spans="1:21" s="458" customFormat="1" ht="13.2" customHeight="1">
      <c r="B62" s="458" t="s">
        <v>1762</v>
      </c>
      <c r="G62" s="1255">
        <v>6000</v>
      </c>
      <c r="H62" s="1256"/>
      <c r="J62" s="1255"/>
      <c r="K62" s="1256"/>
      <c r="L62" s="733"/>
      <c r="M62" s="1255"/>
      <c r="N62" s="1256"/>
      <c r="P62" s="1255">
        <v>6000</v>
      </c>
      <c r="Q62" s="1256"/>
      <c r="S62" s="1255"/>
      <c r="T62" s="1256"/>
    </row>
    <row r="63" spans="1:21" s="458" customFormat="1" ht="13.2" customHeight="1">
      <c r="B63" s="458" t="s">
        <v>1763</v>
      </c>
      <c r="G63" s="1255"/>
      <c r="H63" s="1256"/>
      <c r="J63" s="1255"/>
      <c r="K63" s="1256"/>
      <c r="L63" s="733"/>
      <c r="M63" s="1255"/>
      <c r="N63" s="1256"/>
      <c r="P63" s="1255"/>
      <c r="Q63" s="1256"/>
      <c r="S63" s="1255"/>
      <c r="T63" s="1256"/>
    </row>
    <row r="64" spans="1:21" s="458" customFormat="1" ht="13.2" customHeight="1">
      <c r="B64" s="458" t="s">
        <v>707</v>
      </c>
      <c r="G64" s="1255">
        <v>19500</v>
      </c>
      <c r="H64" s="1256"/>
      <c r="J64" s="1255"/>
      <c r="K64" s="1256"/>
      <c r="L64" s="733"/>
      <c r="M64" s="1255"/>
      <c r="N64" s="1256"/>
      <c r="P64" s="1255">
        <v>19500</v>
      </c>
      <c r="Q64" s="1256"/>
      <c r="S64" s="1255"/>
      <c r="T64" s="1256"/>
    </row>
    <row r="65" spans="1:21" s="458" customFormat="1" ht="13.2" customHeight="1">
      <c r="B65" s="458" t="s">
        <v>708</v>
      </c>
      <c r="G65" s="1255">
        <v>52500</v>
      </c>
      <c r="H65" s="1256"/>
      <c r="J65" s="1255"/>
      <c r="K65" s="1256"/>
      <c r="L65" s="733"/>
      <c r="M65" s="1255"/>
      <c r="N65" s="1256"/>
      <c r="P65" s="1255">
        <v>52500</v>
      </c>
      <c r="Q65" s="1256"/>
      <c r="S65" s="1255"/>
      <c r="T65" s="1256"/>
    </row>
    <row r="66" spans="1:21" s="458" customFormat="1" ht="13.2" customHeight="1">
      <c r="B66" s="458" t="s">
        <v>3139</v>
      </c>
      <c r="G66" s="1255">
        <v>25000</v>
      </c>
      <c r="H66" s="1256"/>
      <c r="J66" s="1255"/>
      <c r="K66" s="1256"/>
      <c r="L66" s="733"/>
      <c r="M66" s="1255"/>
      <c r="N66" s="1256"/>
      <c r="P66" s="1255">
        <v>25000</v>
      </c>
      <c r="Q66" s="1256"/>
      <c r="S66" s="1255"/>
      <c r="T66" s="1256"/>
    </row>
    <row r="67" spans="1:21" s="458" customFormat="1" ht="13.2" customHeight="1" thickBot="1">
      <c r="A67" s="562" t="str">
        <f>IF(AND(G67&gt;0,OR(C67="",C67="&lt;Enter detailed description here; use Comments section if needed&gt;")),"X","")</f>
        <v/>
      </c>
      <c r="B67" s="458" t="s">
        <v>1229</v>
      </c>
      <c r="C67" s="1039"/>
      <c r="D67" s="1039"/>
      <c r="E67" s="1039"/>
      <c r="F67" s="1040"/>
      <c r="G67" s="1255"/>
      <c r="H67" s="1256"/>
      <c r="J67" s="1255"/>
      <c r="K67" s="1256"/>
      <c r="L67" s="733"/>
      <c r="M67" s="1255"/>
      <c r="N67" s="1256"/>
      <c r="P67" s="1255"/>
      <c r="Q67" s="1256"/>
      <c r="S67" s="1255"/>
      <c r="T67" s="1256"/>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249</v>
      </c>
      <c r="G68" s="1348">
        <f>SUM(G58:H67)</f>
        <v>249000</v>
      </c>
      <c r="H68" s="1349"/>
      <c r="J68" s="1348">
        <f>SUM(J58:K67)</f>
        <v>0</v>
      </c>
      <c r="K68" s="1349"/>
      <c r="L68" s="525"/>
      <c r="M68" s="1348">
        <f>SUM(M58:N67)</f>
        <v>0</v>
      </c>
      <c r="N68" s="1349"/>
      <c r="P68" s="1348">
        <f>SUM(P58:Q67)</f>
        <v>249000</v>
      </c>
      <c r="Q68" s="1349"/>
      <c r="S68" s="1348">
        <f>SUM(S58:T67)</f>
        <v>0</v>
      </c>
      <c r="T68" s="1349"/>
    </row>
    <row r="69" spans="1:21" ht="13.2"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1953</v>
      </c>
      <c r="G70" s="1255">
        <v>5272</v>
      </c>
      <c r="H70" s="1256"/>
      <c r="J70" s="1255"/>
      <c r="K70" s="1256"/>
      <c r="L70" s="733"/>
      <c r="M70" s="1255"/>
      <c r="N70" s="1256"/>
      <c r="P70" s="1255">
        <v>5272</v>
      </c>
      <c r="Q70" s="1256"/>
      <c r="S70" s="1255"/>
      <c r="T70" s="1256"/>
    </row>
    <row r="71" spans="1:21" s="458" customFormat="1" ht="13.2" customHeight="1">
      <c r="B71" s="458" t="s">
        <v>1954</v>
      </c>
      <c r="G71" s="1255"/>
      <c r="H71" s="1256"/>
      <c r="J71" s="1255"/>
      <c r="K71" s="1256"/>
      <c r="L71" s="733"/>
      <c r="M71" s="1255"/>
      <c r="N71" s="1256"/>
      <c r="P71" s="1255"/>
      <c r="Q71" s="1256"/>
      <c r="S71" s="1255"/>
      <c r="T71" s="1256"/>
    </row>
    <row r="72" spans="1:21" s="458" customFormat="1" ht="13.2" customHeight="1">
      <c r="B72" s="458" t="s">
        <v>1955</v>
      </c>
      <c r="D72" s="539" t="s">
        <v>2110</v>
      </c>
      <c r="E72" s="866"/>
      <c r="G72" s="1255"/>
      <c r="H72" s="1256"/>
      <c r="I72" s="482"/>
      <c r="J72" s="1255"/>
      <c r="K72" s="1256"/>
      <c r="L72" s="733"/>
      <c r="M72" s="1255"/>
      <c r="N72" s="1256"/>
      <c r="P72" s="1255"/>
      <c r="Q72" s="1256"/>
      <c r="S72" s="1255"/>
      <c r="T72" s="1256"/>
    </row>
    <row r="73" spans="1:21" s="458" customFormat="1" ht="13.2" customHeight="1" thickBot="1">
      <c r="B73" s="458" t="s">
        <v>1956</v>
      </c>
      <c r="D73" s="539" t="s">
        <v>2110</v>
      </c>
      <c r="E73" s="866"/>
      <c r="G73" s="1255"/>
      <c r="H73" s="1256"/>
      <c r="I73" s="482"/>
      <c r="J73" s="1255"/>
      <c r="K73" s="1256"/>
      <c r="L73" s="733"/>
      <c r="M73" s="1255"/>
      <c r="N73" s="1256"/>
      <c r="P73" s="1255"/>
      <c r="Q73" s="1256"/>
      <c r="S73" s="1255"/>
      <c r="T73" s="1256"/>
    </row>
    <row r="74" spans="1:21" s="458" customFormat="1" ht="13.2" customHeight="1" thickTop="1">
      <c r="F74" s="523" t="s">
        <v>249</v>
      </c>
      <c r="G74" s="1348">
        <f>SUM(G70:H73)</f>
        <v>5272</v>
      </c>
      <c r="H74" s="1349"/>
      <c r="J74" s="1348">
        <f>SUM(J70:K73)</f>
        <v>0</v>
      </c>
      <c r="K74" s="1349"/>
      <c r="L74" s="525"/>
      <c r="M74" s="1348">
        <f>SUM(M70:N73)</f>
        <v>0</v>
      </c>
      <c r="N74" s="1349"/>
      <c r="P74" s="1348">
        <f>SUM(P70:Q73)</f>
        <v>5272</v>
      </c>
      <c r="Q74" s="1349"/>
      <c r="S74" s="1348">
        <f>SUM(S70:T73)</f>
        <v>0</v>
      </c>
      <c r="T74" s="1349"/>
    </row>
    <row r="75" spans="1:21" s="458" customFormat="1" ht="13.2" customHeight="1">
      <c r="B75" s="461" t="s">
        <v>1092</v>
      </c>
      <c r="J75" s="525"/>
      <c r="K75" s="525"/>
      <c r="M75" s="525"/>
      <c r="N75" s="525"/>
      <c r="O75" s="524" t="str">
        <f>B75</f>
        <v>PERMANENT FINANCING FEES</v>
      </c>
      <c r="P75" s="525"/>
      <c r="Q75" s="525"/>
      <c r="S75" s="525"/>
      <c r="T75" s="525"/>
    </row>
    <row r="76" spans="1:21" s="458" customFormat="1" ht="13.2" customHeight="1">
      <c r="B76" s="458" t="s">
        <v>1957</v>
      </c>
      <c r="G76" s="1255"/>
      <c r="H76" s="1256"/>
      <c r="J76" s="1410"/>
      <c r="K76" s="1410"/>
      <c r="L76" s="733"/>
      <c r="M76" s="1410"/>
      <c r="N76" s="1410"/>
      <c r="P76" s="1410"/>
      <c r="Q76" s="1410"/>
      <c r="S76" s="1255"/>
      <c r="T76" s="1256"/>
    </row>
    <row r="77" spans="1:21" s="458" customFormat="1" ht="13.2" customHeight="1">
      <c r="B77" s="458" t="s">
        <v>1958</v>
      </c>
      <c r="G77" s="1255"/>
      <c r="H77" s="1256"/>
      <c r="J77" s="1358"/>
      <c r="K77" s="1358"/>
      <c r="L77" s="733"/>
      <c r="M77" s="1358"/>
      <c r="N77" s="1358"/>
      <c r="P77" s="1358"/>
      <c r="Q77" s="1358"/>
      <c r="S77" s="1255"/>
      <c r="T77" s="1256"/>
    </row>
    <row r="78" spans="1:21" s="458" customFormat="1" ht="13.2" customHeight="1">
      <c r="B78" s="458" t="s">
        <v>1959</v>
      </c>
      <c r="G78" s="1255">
        <v>19769</v>
      </c>
      <c r="H78" s="1256"/>
      <c r="J78" s="1255"/>
      <c r="K78" s="1256"/>
      <c r="L78" s="733"/>
      <c r="M78" s="1255"/>
      <c r="N78" s="1256"/>
      <c r="P78" s="1255">
        <v>19769</v>
      </c>
      <c r="Q78" s="1256"/>
      <c r="S78" s="1255"/>
      <c r="T78" s="1256"/>
    </row>
    <row r="79" spans="1:21" s="458" customFormat="1" ht="13.2" customHeight="1">
      <c r="B79" s="458" t="s">
        <v>1960</v>
      </c>
      <c r="G79" s="1255">
        <v>18000</v>
      </c>
      <c r="H79" s="1256"/>
      <c r="J79" s="1255"/>
      <c r="K79" s="1256"/>
      <c r="L79" s="733"/>
      <c r="M79" s="1255"/>
      <c r="N79" s="1256"/>
      <c r="P79" s="1255">
        <v>18000</v>
      </c>
      <c r="Q79" s="1256"/>
      <c r="S79" s="1255"/>
      <c r="T79" s="1256"/>
    </row>
    <row r="80" spans="1:21" s="458" customFormat="1" ht="13.2" customHeight="1">
      <c r="B80" s="458" t="s">
        <v>1961</v>
      </c>
      <c r="G80" s="1255"/>
      <c r="H80" s="1256"/>
      <c r="J80" s="1255"/>
      <c r="K80" s="1256"/>
      <c r="L80" s="733"/>
      <c r="M80" s="1255"/>
      <c r="N80" s="1256"/>
      <c r="P80" s="1255"/>
      <c r="Q80" s="1256"/>
      <c r="S80" s="1255"/>
      <c r="T80" s="1256"/>
    </row>
    <row r="81" spans="1:21" s="458" customFormat="1" ht="13.2" customHeight="1">
      <c r="B81" s="458" t="s">
        <v>3437</v>
      </c>
      <c r="G81" s="1255"/>
      <c r="H81" s="1256"/>
      <c r="J81" s="1255"/>
      <c r="K81" s="1256"/>
      <c r="L81" s="733"/>
      <c r="M81" s="1255"/>
      <c r="N81" s="1256"/>
      <c r="P81" s="1255"/>
      <c r="Q81" s="1256"/>
      <c r="S81" s="1255"/>
      <c r="T81" s="1256"/>
    </row>
    <row r="82" spans="1:21" s="458" customFormat="1" ht="13.2" customHeight="1" thickBot="1">
      <c r="A82" s="562" t="str">
        <f>IF(AND(G82&gt;0,OR(C82="",C82="&lt;Enter detailed description here; use Comments section if needed&gt;")),"X","")</f>
        <v/>
      </c>
      <c r="B82" s="458" t="s">
        <v>1229</v>
      </c>
      <c r="C82" s="1039"/>
      <c r="D82" s="1039"/>
      <c r="E82" s="1039"/>
      <c r="F82" s="1040"/>
      <c r="G82" s="1255"/>
      <c r="H82" s="1256"/>
      <c r="J82" s="1255"/>
      <c r="K82" s="1256"/>
      <c r="L82" s="733"/>
      <c r="M82" s="1255"/>
      <c r="N82" s="1256"/>
      <c r="P82" s="1255"/>
      <c r="Q82" s="1256"/>
      <c r="S82" s="1255"/>
      <c r="T82" s="1256"/>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249</v>
      </c>
      <c r="G83" s="1348">
        <f>SUM(G76:H82)</f>
        <v>37769</v>
      </c>
      <c r="H83" s="1349"/>
      <c r="J83" s="1348">
        <f>SUM(J78:K82)</f>
        <v>0</v>
      </c>
      <c r="K83" s="1349"/>
      <c r="L83" s="525"/>
      <c r="M83" s="1348">
        <f>SUM(M78:N82)</f>
        <v>0</v>
      </c>
      <c r="N83" s="1349"/>
      <c r="P83" s="1348">
        <f>SUM(P78:Q82)</f>
        <v>37769</v>
      </c>
      <c r="Q83" s="1349"/>
      <c r="S83" s="1348">
        <f>SUM(S76:T82)</f>
        <v>0</v>
      </c>
      <c r="T83" s="134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949</v>
      </c>
      <c r="B86" s="461" t="s">
        <v>1493</v>
      </c>
      <c r="H86" s="721"/>
      <c r="I86" s="721"/>
      <c r="J86" s="1344" t="s">
        <v>359</v>
      </c>
      <c r="K86" s="1345"/>
      <c r="L86" s="522"/>
      <c r="M86" s="1421" t="s">
        <v>719</v>
      </c>
      <c r="N86" s="1422"/>
      <c r="P86" s="1344" t="s">
        <v>360</v>
      </c>
      <c r="Q86" s="1345"/>
      <c r="S86" s="1344" t="s">
        <v>361</v>
      </c>
      <c r="T86" s="1345"/>
    </row>
    <row r="87" spans="1:21" s="458" customFormat="1" ht="18" customHeight="1" thickBot="1">
      <c r="G87" s="1428" t="s">
        <v>115</v>
      </c>
      <c r="H87" s="1429"/>
      <c r="J87" s="1346"/>
      <c r="K87" s="1347"/>
      <c r="L87" s="522"/>
      <c r="M87" s="1423"/>
      <c r="N87" s="1424"/>
      <c r="P87" s="1346"/>
      <c r="Q87" s="1347"/>
      <c r="S87" s="1346"/>
      <c r="T87" s="1347"/>
    </row>
    <row r="88" spans="1:21" s="458" customFormat="1" ht="13.2" customHeight="1">
      <c r="B88" s="461" t="s">
        <v>1093</v>
      </c>
      <c r="J88" s="525"/>
      <c r="K88" s="525"/>
      <c r="M88" s="525"/>
      <c r="N88" s="525"/>
      <c r="O88" s="524" t="str">
        <f>B88</f>
        <v>DCA-RELATED COSTS</v>
      </c>
      <c r="P88" s="525"/>
      <c r="Q88" s="525"/>
      <c r="S88" s="525"/>
      <c r="T88" s="525"/>
    </row>
    <row r="89" spans="1:21" s="458" customFormat="1" ht="12.6" customHeight="1">
      <c r="B89" s="458" t="s">
        <v>2287</v>
      </c>
      <c r="G89" s="1255"/>
      <c r="H89" s="1256"/>
      <c r="J89" s="525"/>
      <c r="K89" s="525"/>
      <c r="L89" s="733"/>
      <c r="M89" s="525"/>
      <c r="N89" s="525"/>
      <c r="P89" s="525"/>
      <c r="Q89" s="525"/>
      <c r="S89" s="1255"/>
      <c r="T89" s="1256"/>
    </row>
    <row r="90" spans="1:21" s="458" customFormat="1" ht="12.6" customHeight="1">
      <c r="B90" s="458" t="s">
        <v>1857</v>
      </c>
      <c r="G90" s="1255">
        <v>4000</v>
      </c>
      <c r="H90" s="1256"/>
      <c r="J90" s="525"/>
      <c r="K90" s="525"/>
      <c r="L90" s="540"/>
      <c r="M90" s="525"/>
      <c r="N90" s="525"/>
      <c r="P90" s="525"/>
      <c r="Q90" s="525"/>
      <c r="S90" s="1255">
        <v>4000</v>
      </c>
      <c r="T90" s="1256"/>
    </row>
    <row r="91" spans="1:21" s="458" customFormat="1" ht="12.6" customHeight="1">
      <c r="B91" s="458" t="s">
        <v>2746</v>
      </c>
      <c r="G91" s="1255">
        <v>1500</v>
      </c>
      <c r="H91" s="1256"/>
      <c r="J91" s="525"/>
      <c r="K91" s="525"/>
      <c r="L91" s="540"/>
      <c r="M91" s="525"/>
      <c r="N91" s="525"/>
      <c r="O91" s="721"/>
      <c r="P91" s="525"/>
      <c r="Q91" s="525"/>
      <c r="S91" s="1255">
        <v>1500</v>
      </c>
      <c r="T91" s="1256"/>
    </row>
    <row r="92" spans="1:21" s="458" customFormat="1" ht="12.6" customHeight="1">
      <c r="B92" s="458" t="s">
        <v>810</v>
      </c>
      <c r="E92" s="1433">
        <f>'DCA Underwriting Assumptions'!$Q$41*$J$165</f>
        <v>37707.145000000004</v>
      </c>
      <c r="F92" s="1434"/>
      <c r="G92" s="1255">
        <v>37707</v>
      </c>
      <c r="H92" s="1256"/>
      <c r="J92" s="525"/>
      <c r="K92" s="525"/>
      <c r="L92" s="733"/>
      <c r="M92" s="525"/>
      <c r="N92" s="525"/>
      <c r="O92" s="721"/>
      <c r="P92" s="525"/>
      <c r="Q92" s="525"/>
      <c r="S92" s="1255">
        <v>37707</v>
      </c>
      <c r="T92" s="1256"/>
    </row>
    <row r="93" spans="1:21" s="458" customFormat="1" ht="12.6" customHeight="1">
      <c r="B93" s="458" t="s">
        <v>1243</v>
      </c>
      <c r="E93" s="1433">
        <f>'Part VI-Revenues &amp; Expenses'!$M$63*'DCA Underwriting Assumptions'!$Q$44</f>
        <v>34300</v>
      </c>
      <c r="F93" s="1434"/>
      <c r="G93" s="1255">
        <v>7350</v>
      </c>
      <c r="H93" s="1256"/>
      <c r="J93" s="418"/>
      <c r="K93" s="418"/>
      <c r="L93" s="418"/>
      <c r="M93" s="418"/>
      <c r="N93" s="418"/>
      <c r="O93" s="418"/>
      <c r="P93" s="418"/>
      <c r="Q93" s="418"/>
      <c r="S93" s="1255">
        <v>7350</v>
      </c>
      <c r="T93" s="1256"/>
    </row>
    <row r="94" spans="1:21" s="458" customFormat="1" ht="12.6" customHeight="1">
      <c r="B94" s="458" t="s">
        <v>714</v>
      </c>
      <c r="G94" s="1255"/>
      <c r="H94" s="1256"/>
      <c r="J94" s="418"/>
      <c r="K94" s="418"/>
      <c r="L94" s="418"/>
      <c r="M94" s="418"/>
      <c r="N94" s="418"/>
      <c r="O94" s="418"/>
      <c r="P94" s="418"/>
      <c r="Q94" s="418"/>
      <c r="S94" s="1255"/>
      <c r="T94" s="1256"/>
    </row>
    <row r="95" spans="1:21" s="458" customFormat="1" ht="12.6" customHeight="1">
      <c r="B95" s="458" t="s">
        <v>3551</v>
      </c>
      <c r="G95" s="1255">
        <v>3000</v>
      </c>
      <c r="H95" s="1256"/>
      <c r="J95" s="418"/>
      <c r="K95" s="418"/>
      <c r="L95" s="418"/>
      <c r="M95" s="418"/>
      <c r="N95" s="418"/>
      <c r="O95" s="418"/>
      <c r="P95" s="418"/>
      <c r="Q95" s="418"/>
      <c r="S95" s="1255">
        <v>3000</v>
      </c>
      <c r="T95" s="1256"/>
    </row>
    <row r="96" spans="1:21" s="458" customFormat="1" ht="12.6" customHeight="1">
      <c r="A96" s="562" t="str">
        <f>IF(AND(G96&gt;0,OR(C96="",C96="&lt;Enter detailed description here; use Comments section if needed&gt;")),"X","")</f>
        <v/>
      </c>
      <c r="B96" s="458" t="s">
        <v>1229</v>
      </c>
      <c r="C96" s="1039"/>
      <c r="D96" s="1039"/>
      <c r="E96" s="1039"/>
      <c r="F96" s="1040"/>
      <c r="G96" s="1255"/>
      <c r="H96" s="1256"/>
      <c r="J96" s="418"/>
      <c r="K96" s="418"/>
      <c r="L96" s="418"/>
      <c r="M96" s="418"/>
      <c r="N96" s="418"/>
      <c r="O96" s="418"/>
      <c r="P96" s="418"/>
      <c r="Q96" s="418"/>
      <c r="S96" s="1255"/>
      <c r="T96" s="1256"/>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039"/>
      <c r="D97" s="1039"/>
      <c r="E97" s="1039"/>
      <c r="F97" s="1040"/>
      <c r="G97" s="1255"/>
      <c r="H97" s="1256"/>
      <c r="J97" s="418"/>
      <c r="K97" s="418"/>
      <c r="L97" s="418"/>
      <c r="M97" s="418"/>
      <c r="N97" s="418"/>
      <c r="O97" s="418"/>
      <c r="P97" s="418"/>
      <c r="Q97" s="418"/>
      <c r="S97" s="1255"/>
      <c r="T97" s="1256"/>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1348">
        <f>SUM(G89:H97)</f>
        <v>53557</v>
      </c>
      <c r="H98" s="1349"/>
      <c r="J98" s="525"/>
      <c r="K98" s="525"/>
      <c r="L98" s="733"/>
      <c r="M98" s="525"/>
      <c r="N98" s="525"/>
      <c r="P98" s="525"/>
      <c r="Q98" s="525"/>
      <c r="S98" s="1348">
        <f>SUM(S89:T97)</f>
        <v>53557</v>
      </c>
      <c r="T98" s="1349"/>
    </row>
    <row r="99" spans="1:21" s="458" customFormat="1" ht="13.2" customHeight="1">
      <c r="B99" s="461" t="s">
        <v>3438</v>
      </c>
      <c r="J99" s="525"/>
      <c r="K99" s="525"/>
      <c r="M99" s="525"/>
      <c r="N99" s="525"/>
      <c r="O99" s="524" t="str">
        <f>B99</f>
        <v>EQUITY COSTS</v>
      </c>
      <c r="P99" s="525"/>
      <c r="Q99" s="525"/>
      <c r="S99" s="525"/>
      <c r="T99" s="525"/>
    </row>
    <row r="100" spans="1:21" s="458" customFormat="1" ht="12.6" customHeight="1">
      <c r="B100" s="458" t="s">
        <v>370</v>
      </c>
      <c r="G100" s="1255">
        <v>12500</v>
      </c>
      <c r="H100" s="1256"/>
      <c r="J100" s="1410"/>
      <c r="K100" s="1410"/>
      <c r="L100" s="733"/>
      <c r="M100" s="1410"/>
      <c r="N100" s="1410"/>
      <c r="O100" s="721"/>
      <c r="P100" s="1410"/>
      <c r="Q100" s="1410"/>
      <c r="S100" s="1255">
        <v>12500</v>
      </c>
      <c r="T100" s="1256"/>
    </row>
    <row r="101" spans="1:21" s="458" customFormat="1" ht="12.6" customHeight="1">
      <c r="B101" s="458" t="s">
        <v>372</v>
      </c>
      <c r="G101" s="1255">
        <v>10000</v>
      </c>
      <c r="H101" s="1256"/>
      <c r="J101" s="1410"/>
      <c r="K101" s="1410"/>
      <c r="L101" s="733"/>
      <c r="M101" s="1410"/>
      <c r="N101" s="1410"/>
      <c r="O101" s="721"/>
      <c r="P101" s="1410"/>
      <c r="Q101" s="1410"/>
      <c r="S101" s="1255">
        <v>10000</v>
      </c>
      <c r="T101" s="1256"/>
    </row>
    <row r="102" spans="1:21" s="458" customFormat="1" ht="12.6" customHeight="1">
      <c r="B102" s="458" t="s">
        <v>3613</v>
      </c>
      <c r="G102" s="1255">
        <v>40000</v>
      </c>
      <c r="H102" s="1256"/>
      <c r="J102" s="1410"/>
      <c r="K102" s="1410"/>
      <c r="L102" s="733"/>
      <c r="M102" s="1410"/>
      <c r="N102" s="1410"/>
      <c r="O102" s="721"/>
      <c r="P102" s="1410"/>
      <c r="Q102" s="1410"/>
      <c r="S102" s="1255">
        <v>40000</v>
      </c>
      <c r="T102" s="1256"/>
    </row>
    <row r="103" spans="1:21" s="458" customFormat="1" ht="12.6" customHeight="1" thickBot="1">
      <c r="A103" s="562" t="str">
        <f>IF(AND(G103&gt;0,OR(C103="",C103="&lt;Enter detailed description here; use Comments section if needed&gt;")),"X","")</f>
        <v/>
      </c>
      <c r="B103" s="458" t="s">
        <v>1229</v>
      </c>
      <c r="C103" s="1039"/>
      <c r="D103" s="1039"/>
      <c r="E103" s="1039"/>
      <c r="F103" s="1040"/>
      <c r="G103" s="1255"/>
      <c r="H103" s="1256"/>
      <c r="J103" s="1410"/>
      <c r="K103" s="1410"/>
      <c r="L103" s="733"/>
      <c r="M103" s="1410"/>
      <c r="N103" s="1410"/>
      <c r="O103" s="721"/>
      <c r="P103" s="1410"/>
      <c r="Q103" s="1410"/>
      <c r="S103" s="1255"/>
      <c r="T103" s="1256"/>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1348">
        <f>SUM(G100:H103)</f>
        <v>62500</v>
      </c>
      <c r="H104" s="1349"/>
      <c r="J104" s="1410"/>
      <c r="K104" s="1410"/>
      <c r="L104" s="733"/>
      <c r="M104" s="1410"/>
      <c r="N104" s="1410"/>
      <c r="O104" s="721"/>
      <c r="P104" s="1410"/>
      <c r="Q104" s="1410"/>
      <c r="S104" s="1348">
        <f>SUM(S100:T103)</f>
        <v>62500</v>
      </c>
      <c r="T104" s="1349"/>
    </row>
    <row r="105" spans="1:21" s="458" customFormat="1" ht="13.2"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0.20000047400497467</v>
      </c>
      <c r="G106" s="1255">
        <v>168775</v>
      </c>
      <c r="H106" s="1256"/>
      <c r="J106" s="1255"/>
      <c r="K106" s="1256"/>
      <c r="L106" s="524"/>
      <c r="M106" s="1255">
        <v>41789</v>
      </c>
      <c r="N106" s="1256"/>
      <c r="P106" s="1255">
        <v>126986</v>
      </c>
      <c r="Q106" s="1256"/>
      <c r="S106" s="1255"/>
      <c r="T106" s="1256"/>
    </row>
    <row r="107" spans="1:21" s="458" customFormat="1" ht="12.6" customHeight="1">
      <c r="B107" s="458" t="s">
        <v>2914</v>
      </c>
      <c r="F107" s="647">
        <f>G107/$G$109</f>
        <v>0.24999970374689082</v>
      </c>
      <c r="G107" s="1255">
        <v>210968</v>
      </c>
      <c r="H107" s="1256"/>
      <c r="J107" s="1255"/>
      <c r="K107" s="1256"/>
      <c r="L107" s="733"/>
      <c r="M107" s="1255">
        <v>52236</v>
      </c>
      <c r="N107" s="1256"/>
      <c r="P107" s="1255">
        <v>158732</v>
      </c>
      <c r="Q107" s="1256"/>
      <c r="S107" s="1255"/>
      <c r="T107" s="1256"/>
    </row>
    <row r="108" spans="1:21" s="458" customFormat="1" ht="12.6" customHeight="1" thickBot="1">
      <c r="B108" s="458" t="s">
        <v>2906</v>
      </c>
      <c r="F108" s="647">
        <f>G108/$G$109</f>
        <v>0.54999982224813448</v>
      </c>
      <c r="G108" s="1255">
        <v>464130</v>
      </c>
      <c r="H108" s="1256"/>
      <c r="J108" s="1255"/>
      <c r="K108" s="1256"/>
      <c r="L108" s="733"/>
      <c r="M108" s="1255">
        <v>114919</v>
      </c>
      <c r="N108" s="1256"/>
      <c r="P108" s="1255">
        <v>349211</v>
      </c>
      <c r="Q108" s="1256"/>
      <c r="S108" s="1255"/>
      <c r="T108" s="1256"/>
    </row>
    <row r="109" spans="1:21" s="458" customFormat="1" ht="12.6" customHeight="1" thickTop="1">
      <c r="C109" s="561" t="str">
        <f>IF(G109&lt;='DCA Underwriting Assumptions'!$Q$46,"","Developer Fee exceeds DCA Program Maximum !!!")</f>
        <v/>
      </c>
      <c r="F109" s="523" t="s">
        <v>249</v>
      </c>
      <c r="G109" s="1348">
        <f>SUM(G106:H108)</f>
        <v>843873</v>
      </c>
      <c r="H109" s="1349"/>
      <c r="J109" s="1348">
        <f>SUM(J106:K108)</f>
        <v>0</v>
      </c>
      <c r="K109" s="1349"/>
      <c r="L109" s="733"/>
      <c r="M109" s="1348">
        <f>SUM(M106:N108)</f>
        <v>208944</v>
      </c>
      <c r="N109" s="1349"/>
      <c r="P109" s="1348">
        <f>SUM(P106:Q108)</f>
        <v>634929</v>
      </c>
      <c r="Q109" s="1349"/>
      <c r="S109" s="1348">
        <f>SUM(S106:T108)</f>
        <v>0</v>
      </c>
      <c r="T109" s="1349"/>
    </row>
    <row r="110" spans="1:21" s="458" customFormat="1" ht="13.2"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255">
        <v>10000</v>
      </c>
      <c r="H111" s="1256"/>
      <c r="J111" s="541"/>
      <c r="K111" s="541"/>
      <c r="L111" s="541"/>
      <c r="M111" s="541"/>
      <c r="N111" s="541"/>
      <c r="P111" s="541"/>
      <c r="Q111" s="541"/>
      <c r="S111" s="1255">
        <v>10000</v>
      </c>
      <c r="T111" s="1256"/>
    </row>
    <row r="112" spans="1:21" s="458" customFormat="1" ht="12.6" customHeight="1">
      <c r="B112" s="458" t="s">
        <v>2286</v>
      </c>
      <c r="G112" s="1255">
        <v>40008</v>
      </c>
      <c r="H112" s="1256"/>
      <c r="J112" s="1410"/>
      <c r="K112" s="1410"/>
      <c r="L112" s="733"/>
      <c r="M112" s="1410"/>
      <c r="N112" s="1410"/>
      <c r="O112" s="721"/>
      <c r="P112" s="1410"/>
      <c r="Q112" s="1410"/>
      <c r="R112" s="721"/>
      <c r="S112" s="1255">
        <v>40008</v>
      </c>
      <c r="T112" s="1256"/>
    </row>
    <row r="113" spans="1:21" s="458" customFormat="1" ht="12.6" customHeight="1">
      <c r="B113" s="458" t="s">
        <v>1027</v>
      </c>
      <c r="F113" s="482"/>
      <c r="G113" s="1255">
        <v>96823</v>
      </c>
      <c r="H113" s="1256"/>
      <c r="J113" s="540"/>
      <c r="K113" s="540"/>
      <c r="L113" s="540"/>
      <c r="M113" s="540"/>
      <c r="N113" s="540"/>
      <c r="O113" s="721"/>
      <c r="P113" s="540"/>
      <c r="Q113" s="540"/>
      <c r="R113" s="721"/>
      <c r="S113" s="1255">
        <v>96823</v>
      </c>
      <c r="T113" s="1256"/>
    </row>
    <row r="114" spans="1:21" s="458" customFormat="1" ht="12.6" customHeight="1">
      <c r="B114" s="458" t="s">
        <v>1921</v>
      </c>
      <c r="G114" s="1255"/>
      <c r="H114" s="1256"/>
      <c r="J114" s="541"/>
      <c r="K114" s="541"/>
      <c r="L114" s="541"/>
      <c r="M114" s="541"/>
      <c r="N114" s="541"/>
      <c r="P114" s="541"/>
      <c r="Q114" s="541"/>
      <c r="S114" s="1255"/>
      <c r="T114" s="1256"/>
    </row>
    <row r="115" spans="1:21" s="458" customFormat="1" ht="12.6" customHeight="1">
      <c r="B115" s="458" t="s">
        <v>1922</v>
      </c>
      <c r="E115" s="458" t="s">
        <v>1470</v>
      </c>
      <c r="F115" s="647">
        <f>G115/'Part VI-Revenues &amp; Expenses'!$M$63</f>
        <v>1387.7551020408164</v>
      </c>
      <c r="G115" s="1255">
        <v>68000</v>
      </c>
      <c r="H115" s="1256"/>
      <c r="J115" s="1255"/>
      <c r="K115" s="1256"/>
      <c r="L115" s="733"/>
      <c r="M115" s="1255"/>
      <c r="N115" s="1256"/>
      <c r="P115" s="1255">
        <v>68000</v>
      </c>
      <c r="Q115" s="1256"/>
      <c r="S115" s="1255"/>
      <c r="T115" s="1256"/>
    </row>
    <row r="116" spans="1:21" s="458" customFormat="1" ht="12.6" customHeight="1" thickBot="1">
      <c r="A116" s="562" t="str">
        <f>IF(AND(G116&gt;0,OR(C116="",C116="&lt;Enter detailed description here; use Comments section if needed&gt;")),"X","")</f>
        <v/>
      </c>
      <c r="B116" s="458" t="s">
        <v>1229</v>
      </c>
      <c r="C116" s="1039"/>
      <c r="D116" s="1039"/>
      <c r="E116" s="1039"/>
      <c r="F116" s="1040"/>
      <c r="G116" s="1255"/>
      <c r="H116" s="1256"/>
      <c r="J116" s="1255"/>
      <c r="K116" s="1256"/>
      <c r="L116" s="733"/>
      <c r="M116" s="1255"/>
      <c r="N116" s="1256"/>
      <c r="P116" s="1255"/>
      <c r="Q116" s="1256"/>
      <c r="S116" s="1255"/>
      <c r="T116" s="1256"/>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1348">
        <f>SUM(G111:H116)</f>
        <v>214831</v>
      </c>
      <c r="H117" s="1349"/>
      <c r="J117" s="1348">
        <f>SUM(J115:K116)</f>
        <v>0</v>
      </c>
      <c r="K117" s="1349"/>
      <c r="L117" s="733"/>
      <c r="M117" s="1348">
        <f>SUM(M115:N116)</f>
        <v>0</v>
      </c>
      <c r="N117" s="1349"/>
      <c r="P117" s="1348">
        <f>SUM(P115:Q116)</f>
        <v>68000</v>
      </c>
      <c r="Q117" s="1349"/>
      <c r="S117" s="1348">
        <f>SUM(S111:T116)</f>
        <v>146831</v>
      </c>
      <c r="T117" s="1349"/>
    </row>
    <row r="118" spans="1:21" s="458" customFormat="1" ht="13.2" customHeight="1">
      <c r="B118" s="461" t="s">
        <v>942</v>
      </c>
      <c r="C118" s="713"/>
      <c r="H118" s="538"/>
      <c r="I118" s="538"/>
      <c r="J118" s="522"/>
      <c r="K118" s="522"/>
      <c r="M118" s="522"/>
      <c r="N118" s="522"/>
      <c r="O118" s="524" t="str">
        <f>B118</f>
        <v>OTHER COSTS</v>
      </c>
      <c r="P118" s="522"/>
      <c r="Q118" s="522"/>
      <c r="S118" s="522"/>
      <c r="T118" s="522"/>
    </row>
    <row r="119" spans="1:21" s="458" customFormat="1" ht="12.6" customHeight="1">
      <c r="B119" s="458" t="s">
        <v>943</v>
      </c>
      <c r="C119" s="713"/>
      <c r="G119" s="1255">
        <v>98000</v>
      </c>
      <c r="H119" s="1256"/>
      <c r="J119" s="1255"/>
      <c r="K119" s="1256"/>
      <c r="L119" s="524"/>
      <c r="M119" s="1255"/>
      <c r="N119" s="1256"/>
      <c r="P119" s="1255">
        <v>98000</v>
      </c>
      <c r="Q119" s="1256"/>
      <c r="S119" s="1255"/>
      <c r="T119" s="1256"/>
    </row>
    <row r="120" spans="1:21" s="458" customFormat="1" ht="12.6" customHeight="1" thickBot="1">
      <c r="A120" s="562" t="str">
        <f>IF(AND(G120&gt;0,OR(C120="",C120="&lt;Enter detailed description here; use Comments section if needed&gt;")),"X","")</f>
        <v/>
      </c>
      <c r="B120" s="458" t="s">
        <v>1229</v>
      </c>
      <c r="C120" s="1039"/>
      <c r="D120" s="1039"/>
      <c r="E120" s="1039"/>
      <c r="F120" s="1040"/>
      <c r="G120" s="1255"/>
      <c r="H120" s="1256"/>
      <c r="J120" s="1255"/>
      <c r="K120" s="1256"/>
      <c r="L120" s="733"/>
      <c r="M120" s="1255"/>
      <c r="N120" s="1256"/>
      <c r="P120" s="1255"/>
      <c r="Q120" s="1256"/>
      <c r="S120" s="1255"/>
      <c r="T120" s="1256"/>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1348">
        <f>SUM(G119:H120)</f>
        <v>98000</v>
      </c>
      <c r="H121" s="1349"/>
      <c r="J121" s="1348">
        <f>SUM(J119:K120)</f>
        <v>0</v>
      </c>
      <c r="K121" s="1349"/>
      <c r="L121" s="733"/>
      <c r="M121" s="1348">
        <f>SUM(M119:N120)</f>
        <v>0</v>
      </c>
      <c r="N121" s="1349"/>
      <c r="P121" s="1348">
        <f>SUM(P119:Q120)</f>
        <v>98000</v>
      </c>
      <c r="Q121" s="1349"/>
      <c r="S121" s="1348">
        <f>SUM(S119:T120)</f>
        <v>0</v>
      </c>
      <c r="T121" s="1349"/>
    </row>
    <row r="122" spans="1:21" s="458" customFormat="1" ht="3" customHeight="1" thickBot="1">
      <c r="C122" s="713"/>
      <c r="H122" s="538"/>
      <c r="I122" s="538"/>
      <c r="L122" s="721"/>
    </row>
    <row r="123" spans="1:21" s="458" customFormat="1" ht="13.95" customHeight="1" thickBot="1">
      <c r="B123" s="465" t="s">
        <v>374</v>
      </c>
      <c r="G123" s="1404">
        <f>G17+G23+G27+G32+G36+G42+G56+G68+G74+G83+G98+G104+G109+G117+G121</f>
        <v>6589694</v>
      </c>
      <c r="H123" s="1405"/>
      <c r="J123" s="1404">
        <f>J17+J23+J27+J32+J36+J42+J56+J68+J74+J83+J98+J104+J109+J117+J121</f>
        <v>0</v>
      </c>
      <c r="K123" s="1405"/>
      <c r="M123" s="1404">
        <f>M17+M23+M27+M32+M36+M42+M56+M68+M74+M83+M98+M104+M109+M117+M121</f>
        <v>1601903</v>
      </c>
      <c r="N123" s="1405"/>
      <c r="P123" s="1404">
        <f>P17+P23+P27+P32+P36+P42+P56+P68+P74+P83+P98+P104+P109+P117+P121</f>
        <v>4597132</v>
      </c>
      <c r="Q123" s="1405"/>
      <c r="S123" s="1404">
        <f>S17+S23+S27+S32+S36+S42+S56+S68+S74+S83+S98+S104+S109+S117+S121</f>
        <v>390659</v>
      </c>
      <c r="T123" s="1405"/>
    </row>
    <row r="124" spans="1:21" s="458" customFormat="1" ht="3" customHeight="1" thickBot="1">
      <c r="C124" s="713"/>
      <c r="H124" s="538"/>
      <c r="I124" s="538"/>
      <c r="L124" s="721"/>
    </row>
    <row r="125" spans="1:21" s="458" customFormat="1" ht="13.95" customHeight="1" thickBot="1">
      <c r="B125" s="465" t="s">
        <v>3894</v>
      </c>
      <c r="D125" s="1361">
        <f>IF(AND($T$155 = "Yes", 'Part IX A-Scoring Criteria'!$O$176 &gt; 0),'DCA Underwriting Assumptions'!$R$13, IF(AND('Part IV-Uses of Funds'!$T$156="Yes", 'Part IX A-Scoring Criteria'!$O$74&gt;0),'DCA Underwriting Assumptions'!$R$12, 'DCA Underwriting Assumptions'!$R$11))</f>
        <v>7108451</v>
      </c>
      <c r="E125" s="1362"/>
      <c r="F125" s="461" t="s">
        <v>1037</v>
      </c>
      <c r="G125" s="1406">
        <f>G123/'Part VI-Revenues &amp; Expenses'!$M$63</f>
        <v>134483.55102040817</v>
      </c>
      <c r="H125" s="1407"/>
      <c r="I125" s="543"/>
      <c r="J125" s="465" t="s">
        <v>1038</v>
      </c>
      <c r="M125" s="1406">
        <f>G123/'Part VI-Revenues &amp; Expenses'!$M$98</f>
        <v>164.79590867031786</v>
      </c>
      <c r="N125" s="1407"/>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5" customHeight="1">
      <c r="A128" s="406" t="s">
        <v>1228</v>
      </c>
      <c r="B128" s="408" t="s">
        <v>2144</v>
      </c>
      <c r="C128" s="459"/>
      <c r="D128" s="733"/>
      <c r="E128" s="733"/>
      <c r="G128" s="721"/>
      <c r="H128" s="721"/>
      <c r="I128" s="545"/>
      <c r="J128" s="1344" t="s">
        <v>359</v>
      </c>
      <c r="K128" s="1345"/>
      <c r="M128" s="1344" t="s">
        <v>114</v>
      </c>
      <c r="N128" s="1345"/>
      <c r="P128" s="1344" t="s">
        <v>360</v>
      </c>
      <c r="Q128" s="1345"/>
    </row>
    <row r="129" spans="2:17" s="458" customFormat="1" ht="15" customHeight="1" thickBot="1">
      <c r="B129" s="465" t="s">
        <v>3134</v>
      </c>
      <c r="D129" s="733"/>
      <c r="E129" s="733"/>
      <c r="I129" s="545"/>
      <c r="J129" s="1346"/>
      <c r="K129" s="1347"/>
      <c r="L129" s="459"/>
      <c r="M129" s="1346"/>
      <c r="N129" s="1347"/>
      <c r="P129" s="1346"/>
      <c r="Q129" s="1347"/>
    </row>
    <row r="130" spans="2:17" s="458" customFormat="1" ht="6" customHeight="1">
      <c r="D130" s="713"/>
      <c r="E130" s="713"/>
      <c r="I130" s="538"/>
      <c r="J130" s="538"/>
      <c r="K130" s="544"/>
      <c r="L130" s="464"/>
      <c r="P130" s="721"/>
    </row>
    <row r="131" spans="2:17" s="458" customFormat="1" ht="13.95" customHeight="1">
      <c r="B131" s="713" t="s">
        <v>185</v>
      </c>
      <c r="D131" s="721"/>
      <c r="E131" s="721"/>
      <c r="F131" s="721"/>
      <c r="G131" s="721"/>
      <c r="H131" s="721"/>
      <c r="I131" s="545"/>
      <c r="J131" s="1359"/>
      <c r="K131" s="1360"/>
      <c r="P131" s="1359"/>
      <c r="Q131" s="1360"/>
    </row>
    <row r="132" spans="2:17" s="458" customFormat="1" ht="13.95" customHeight="1">
      <c r="B132" s="721" t="s">
        <v>3254</v>
      </c>
      <c r="D132" s="721"/>
      <c r="E132" s="721"/>
      <c r="F132" s="721"/>
      <c r="G132" s="721"/>
      <c r="H132" s="721"/>
      <c r="I132" s="545"/>
      <c r="J132" s="1359"/>
      <c r="K132" s="1360"/>
      <c r="P132" s="1359"/>
      <c r="Q132" s="1360"/>
    </row>
    <row r="133" spans="2:17" s="458" customFormat="1" ht="13.95" customHeight="1">
      <c r="B133" s="721" t="s">
        <v>2916</v>
      </c>
      <c r="D133" s="721"/>
      <c r="E133" s="721"/>
      <c r="I133" s="545"/>
      <c r="J133" s="1359"/>
      <c r="K133" s="1360"/>
      <c r="P133" s="1359"/>
      <c r="Q133" s="1360"/>
    </row>
    <row r="134" spans="2:17" s="458" customFormat="1" ht="13.95" customHeight="1">
      <c r="B134" s="721" t="s">
        <v>2917</v>
      </c>
      <c r="D134" s="721"/>
      <c r="E134" s="721"/>
      <c r="I134" s="545"/>
      <c r="J134" s="1359"/>
      <c r="K134" s="1360"/>
      <c r="P134" s="1359"/>
      <c r="Q134" s="1360"/>
    </row>
    <row r="135" spans="2:17" s="458" customFormat="1" ht="13.95" customHeight="1">
      <c r="B135" s="721" t="s">
        <v>329</v>
      </c>
      <c r="D135" s="721"/>
      <c r="E135" s="721"/>
      <c r="I135" s="545"/>
      <c r="J135" s="1359"/>
      <c r="K135" s="1360"/>
      <c r="P135" s="1359"/>
      <c r="Q135" s="1360"/>
    </row>
    <row r="136" spans="2:17" s="458" customFormat="1" ht="13.95" customHeight="1" thickBot="1">
      <c r="B136" s="721" t="s">
        <v>2362</v>
      </c>
      <c r="C136" s="1039" t="s">
        <v>3658</v>
      </c>
      <c r="D136" s="1039"/>
      <c r="E136" s="1039"/>
      <c r="F136" s="1039"/>
      <c r="G136" s="1039"/>
      <c r="H136" s="1039"/>
      <c r="I136" s="1040"/>
      <c r="J136" s="1359"/>
      <c r="K136" s="1360"/>
      <c r="P136" s="1359"/>
      <c r="Q136" s="1360"/>
    </row>
    <row r="137" spans="2:17" s="458" customFormat="1" ht="13.95" customHeight="1" thickBot="1">
      <c r="B137" s="470" t="s">
        <v>2918</v>
      </c>
      <c r="C137" s="473"/>
      <c r="J137" s="1298">
        <f>SUM(J131:K136)</f>
        <v>0</v>
      </c>
      <c r="K137" s="1299"/>
      <c r="P137" s="1298">
        <f>SUM(P131:Q136)</f>
        <v>0</v>
      </c>
      <c r="Q137" s="1299"/>
    </row>
    <row r="138" spans="2:17" s="458" customFormat="1" ht="3" customHeight="1"/>
    <row r="139" spans="2:17" s="458" customFormat="1" ht="15" customHeight="1" thickBot="1">
      <c r="B139" s="461" t="s">
        <v>3486</v>
      </c>
    </row>
    <row r="140" spans="2:17" s="458" customFormat="1" ht="13.95" customHeight="1">
      <c r="B140" s="458" t="s">
        <v>2820</v>
      </c>
      <c r="J140" s="1408">
        <f>J123</f>
        <v>0</v>
      </c>
      <c r="K140" s="1409"/>
      <c r="M140" s="1412">
        <f>M123</f>
        <v>1601903</v>
      </c>
      <c r="N140" s="1413"/>
      <c r="P140" s="1408">
        <f>P123</f>
        <v>4597132</v>
      </c>
      <c r="Q140" s="1409"/>
    </row>
    <row r="141" spans="2:17" s="458" customFormat="1" ht="13.95" customHeight="1">
      <c r="B141" s="458" t="s">
        <v>3342</v>
      </c>
      <c r="J141" s="1369">
        <f>J137</f>
        <v>0</v>
      </c>
      <c r="K141" s="1398"/>
      <c r="M141" s="1370"/>
      <c r="N141" s="1370"/>
      <c r="P141" s="1369">
        <f>P137</f>
        <v>0</v>
      </c>
      <c r="Q141" s="1398"/>
    </row>
    <row r="142" spans="2:17" s="458" customFormat="1" ht="13.95" customHeight="1">
      <c r="B142" s="458" t="s">
        <v>3343</v>
      </c>
      <c r="J142" s="1369">
        <f>J140-J141</f>
        <v>0</v>
      </c>
      <c r="K142" s="1398"/>
      <c r="M142" s="1369">
        <f>M140</f>
        <v>1601903</v>
      </c>
      <c r="N142" s="1398"/>
      <c r="P142" s="1369">
        <f>P140-P141</f>
        <v>4597132</v>
      </c>
      <c r="Q142" s="1398"/>
    </row>
    <row r="143" spans="2:17" s="458" customFormat="1" ht="13.95" customHeight="1">
      <c r="B143" s="458" t="s">
        <v>2227</v>
      </c>
      <c r="G143" s="715" t="s">
        <v>2733</v>
      </c>
      <c r="H143" s="1262" t="s">
        <v>3977</v>
      </c>
      <c r="I143" s="1263"/>
      <c r="J143" s="1371"/>
      <c r="K143" s="1372"/>
      <c r="M143" s="1411"/>
      <c r="N143" s="1411"/>
      <c r="P143" s="1371">
        <v>1.18</v>
      </c>
      <c r="Q143" s="1372"/>
    </row>
    <row r="144" spans="2:17" s="458" customFormat="1" ht="13.95" customHeight="1">
      <c r="B144" s="458" t="s">
        <v>3148</v>
      </c>
      <c r="J144" s="1369">
        <f>J142*J143</f>
        <v>0</v>
      </c>
      <c r="K144" s="1398"/>
      <c r="M144" s="1369">
        <f>+M142</f>
        <v>1601903</v>
      </c>
      <c r="N144" s="1398"/>
      <c r="P144" s="1369">
        <f>P142*P143</f>
        <v>5424615.7599999998</v>
      </c>
      <c r="Q144" s="1398"/>
    </row>
    <row r="145" spans="1:20" s="458" customFormat="1" ht="13.95" customHeight="1">
      <c r="B145" s="458" t="s">
        <v>3838</v>
      </c>
      <c r="J145" s="1414">
        <f>MIN('Part VI-Revenues &amp; Expenses'!$M$59/'Part VI-Revenues &amp; Expenses'!$M$61,'Part VI-Revenues &amp; Expenses'!$M$94/'Part VI-Revenues &amp; Expenses'!$M$96)</f>
        <v>1</v>
      </c>
      <c r="K145" s="1415"/>
      <c r="M145" s="1414">
        <f>MIN('Part VI-Revenues &amp; Expenses'!$M$59/'Part VI-Revenues &amp; Expenses'!$M$61,'Part VI-Revenues &amp; Expenses'!$M$94/'Part VI-Revenues &amp; Expenses'!$M$96)</f>
        <v>1</v>
      </c>
      <c r="N145" s="1415"/>
      <c r="P145" s="1414">
        <f>MIN('Part VI-Revenues &amp; Expenses'!$M$59/'Part VI-Revenues &amp; Expenses'!$M$61,'Part VI-Revenues &amp; Expenses'!$M$94/'Part VI-Revenues &amp; Expenses'!$M$96)</f>
        <v>1</v>
      </c>
      <c r="Q145" s="1415"/>
    </row>
    <row r="146" spans="1:20" s="458" customFormat="1" ht="13.95" customHeight="1">
      <c r="B146" s="458" t="s">
        <v>3135</v>
      </c>
      <c r="J146" s="1369">
        <f>J144*J145</f>
        <v>0</v>
      </c>
      <c r="K146" s="1398"/>
      <c r="M146" s="1369">
        <f>M144*M145</f>
        <v>1601903</v>
      </c>
      <c r="N146" s="1398"/>
      <c r="P146" s="1369">
        <f>P144*P145</f>
        <v>5424615.7599999998</v>
      </c>
      <c r="Q146" s="1398"/>
    </row>
    <row r="147" spans="1:20" s="458" customFormat="1" ht="13.95" customHeight="1">
      <c r="B147" s="458" t="s">
        <v>3136</v>
      </c>
      <c r="J147" s="1371"/>
      <c r="K147" s="1372"/>
      <c r="M147" s="1371">
        <v>3.3300000000000003E-2</v>
      </c>
      <c r="N147" s="1372"/>
      <c r="P147" s="1371">
        <v>0.09</v>
      </c>
      <c r="Q147" s="1372"/>
    </row>
    <row r="148" spans="1:20" s="458" customFormat="1" ht="13.95" customHeight="1" thickBot="1">
      <c r="B148" s="458" t="s">
        <v>3839</v>
      </c>
      <c r="J148" s="1373">
        <f>J146*J147</f>
        <v>0</v>
      </c>
      <c r="K148" s="1374"/>
      <c r="M148" s="1373">
        <f>M146*M147</f>
        <v>53343.369900000005</v>
      </c>
      <c r="N148" s="1374"/>
      <c r="P148" s="1373">
        <f>P146*P147</f>
        <v>488215.41839999997</v>
      </c>
      <c r="Q148" s="1374"/>
    </row>
    <row r="149" spans="1:20" s="458" customFormat="1" ht="13.95" customHeight="1" thickBot="1">
      <c r="B149" s="458" t="s">
        <v>2142</v>
      </c>
      <c r="J149" s="1298">
        <f>J148+M148+P148</f>
        <v>541558.78830000001</v>
      </c>
      <c r="K149" s="1399"/>
      <c r="L149" s="1399"/>
      <c r="M149" s="1399"/>
      <c r="N149" s="1399"/>
      <c r="O149" s="1399"/>
      <c r="P149" s="1399"/>
      <c r="Q149" s="1299"/>
    </row>
    <row r="150" spans="1:20" s="458" customFormat="1" ht="6" customHeight="1" thickBot="1">
      <c r="B150" s="546"/>
      <c r="L150" s="547"/>
      <c r="M150" s="547"/>
      <c r="N150" s="547"/>
      <c r="O150" s="547"/>
    </row>
    <row r="151" spans="1:20" s="458" customFormat="1" ht="15" customHeight="1">
      <c r="A151" s="461" t="s">
        <v>1230</v>
      </c>
      <c r="B151" s="461" t="s">
        <v>2145</v>
      </c>
      <c r="I151" s="721"/>
      <c r="J151" s="1392" t="s">
        <v>345</v>
      </c>
      <c r="K151" s="1392"/>
      <c r="L151" s="1392"/>
      <c r="M151" s="1363" t="str">
        <f>IF(J153&gt;D125,"TDC exceeds PUCL!","")</f>
        <v/>
      </c>
      <c r="N151" s="1364"/>
      <c r="O151" s="1364"/>
      <c r="P151" s="1364"/>
      <c r="Q151" s="1364"/>
      <c r="R151" s="1365"/>
      <c r="S151" s="1382" t="s">
        <v>2649</v>
      </c>
      <c r="T151" s="1383"/>
    </row>
    <row r="152" spans="1:20" s="458" customFormat="1" ht="15" customHeight="1">
      <c r="B152" s="461" t="s">
        <v>231</v>
      </c>
      <c r="I152" s="721"/>
      <c r="J152" s="1418">
        <f>MIN(G123,D125)</f>
        <v>6589694</v>
      </c>
      <c r="K152" s="1418"/>
      <c r="L152" s="1418"/>
      <c r="M152" s="1366" t="s">
        <v>3643</v>
      </c>
      <c r="N152" s="1367"/>
      <c r="O152" s="1367"/>
      <c r="P152" s="1367"/>
      <c r="Q152" s="1367"/>
      <c r="R152" s="1368"/>
      <c r="S152" s="1384"/>
      <c r="T152" s="1385"/>
    </row>
    <row r="153" spans="1:20" s="458" customFormat="1" ht="13.95" customHeight="1">
      <c r="B153" s="458" t="s">
        <v>2648</v>
      </c>
      <c r="J153" s="1416">
        <v>6589694</v>
      </c>
      <c r="K153" s="1417"/>
      <c r="L153" s="1417"/>
      <c r="M153" s="1366"/>
      <c r="N153" s="1367"/>
      <c r="O153" s="1367"/>
      <c r="P153" s="1367"/>
      <c r="Q153" s="1367"/>
      <c r="R153" s="1368"/>
      <c r="S153" s="1384"/>
      <c r="T153" s="1385"/>
    </row>
    <row r="154" spans="1:20" s="458" customFormat="1" ht="13.95" customHeight="1">
      <c r="B154" s="458" t="s">
        <v>341</v>
      </c>
      <c r="J154" s="1369">
        <f>'Part III A-Sources of Funds'!$H$49-'Part III A-Sources of Funds'!$H$37-'Part III A-Sources of Funds'!$H$40-'Part III A-Sources of Funds'!$H$41</f>
        <v>1202959</v>
      </c>
      <c r="K154" s="1370"/>
      <c r="L154" s="1370"/>
      <c r="M154" s="1366"/>
      <c r="N154" s="1367"/>
      <c r="O154" s="1367"/>
      <c r="P154" s="1367"/>
      <c r="Q154" s="1367"/>
      <c r="R154" s="1368"/>
      <c r="S154" s="685"/>
      <c r="T154" s="688" t="s">
        <v>344</v>
      </c>
    </row>
    <row r="155" spans="1:20" s="458" customFormat="1" ht="13.95" customHeight="1">
      <c r="B155" s="458" t="s">
        <v>3355</v>
      </c>
      <c r="J155" s="1369">
        <f>+J153-J154</f>
        <v>5386735</v>
      </c>
      <c r="K155" s="1370"/>
      <c r="L155" s="1370"/>
      <c r="M155" s="1391" t="s">
        <v>342</v>
      </c>
      <c r="N155" s="1392"/>
      <c r="O155" s="1392" t="s">
        <v>2651</v>
      </c>
      <c r="P155" s="1392"/>
      <c r="Q155" s="1392"/>
      <c r="R155" s="1397"/>
      <c r="S155" s="686" t="s">
        <v>2650</v>
      </c>
      <c r="T155" s="867"/>
    </row>
    <row r="156" spans="1:20" s="458" customFormat="1" ht="13.95" customHeight="1" thickBot="1">
      <c r="B156" s="458" t="s">
        <v>1985</v>
      </c>
      <c r="J156" s="1403" t="str">
        <f>"/ 10"</f>
        <v>/ 10</v>
      </c>
      <c r="K156" s="1403"/>
      <c r="L156" s="1403"/>
      <c r="M156" s="1393"/>
      <c r="N156" s="1394"/>
      <c r="O156" s="1395"/>
      <c r="P156" s="1395"/>
      <c r="Q156" s="1395"/>
      <c r="R156" s="1396"/>
      <c r="S156" s="687" t="s">
        <v>343</v>
      </c>
      <c r="T156" s="868"/>
    </row>
    <row r="157" spans="1:20" s="458" customFormat="1" ht="13.95" customHeight="1">
      <c r="B157" s="458" t="s">
        <v>1986</v>
      </c>
      <c r="J157" s="1369">
        <f>J155/10</f>
        <v>538673.5</v>
      </c>
      <c r="K157" s="1370"/>
      <c r="L157" s="1398"/>
      <c r="M157" s="482"/>
      <c r="N157" s="1033" t="s">
        <v>1987</v>
      </c>
      <c r="O157" s="1033"/>
      <c r="Q157" s="1033" t="s">
        <v>2829</v>
      </c>
      <c r="R157" s="1033"/>
    </row>
    <row r="158" spans="1:20" s="458" customFormat="1" ht="13.95" customHeight="1" thickBot="1">
      <c r="B158" s="458" t="s">
        <v>2226</v>
      </c>
      <c r="J158" s="1386">
        <f>N158+Q158</f>
        <v>1</v>
      </c>
      <c r="K158" s="1387"/>
      <c r="L158" s="1388"/>
      <c r="M158" s="715" t="s">
        <v>1988</v>
      </c>
      <c r="N158" s="1389">
        <v>0.75</v>
      </c>
      <c r="O158" s="1390"/>
      <c r="P158" s="715" t="s">
        <v>944</v>
      </c>
      <c r="Q158" s="1389">
        <v>0.25</v>
      </c>
      <c r="R158" s="1390"/>
    </row>
    <row r="159" spans="1:20" s="458" customFormat="1" ht="13.95" customHeight="1" thickBot="1">
      <c r="B159" s="458" t="s">
        <v>2143</v>
      </c>
      <c r="J159" s="1298">
        <f>IF(J158=0,"",J157/J158)</f>
        <v>538673.5</v>
      </c>
      <c r="K159" s="1399"/>
      <c r="L159" s="1299"/>
      <c r="M159" s="482"/>
      <c r="N159" s="721"/>
      <c r="O159" s="721"/>
    </row>
    <row r="160" spans="1:20" s="458" customFormat="1" ht="9" customHeight="1">
      <c r="J160" s="548"/>
      <c r="K160" s="548"/>
      <c r="L160" s="548"/>
      <c r="M160" s="482"/>
      <c r="N160" s="719"/>
      <c r="O160" s="719"/>
    </row>
    <row r="161" spans="1:20" s="458" customFormat="1" ht="16.2" customHeight="1">
      <c r="B161" s="461" t="s">
        <v>447</v>
      </c>
      <c r="J161" s="1375">
        <f>+MIN(J149,J159,'DCA Underwriting Assumptions'!$R$6)</f>
        <v>538673.5</v>
      </c>
      <c r="K161" s="1376"/>
      <c r="L161" s="1377"/>
      <c r="M161" s="482"/>
      <c r="N161" s="719"/>
      <c r="O161" s="719"/>
    </row>
    <row r="162" spans="1:20" s="458" customFormat="1" ht="9.6" customHeight="1">
      <c r="J162" s="548"/>
      <c r="K162" s="548"/>
      <c r="L162" s="548"/>
      <c r="M162" s="482"/>
      <c r="N162" s="719"/>
      <c r="O162" s="719"/>
    </row>
    <row r="163" spans="1:20" s="458" customFormat="1" ht="16.2" customHeight="1">
      <c r="B163" s="461" t="s">
        <v>448</v>
      </c>
      <c r="J163" s="1400">
        <v>538673.5</v>
      </c>
      <c r="K163" s="1401"/>
      <c r="L163" s="1402"/>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2" customHeight="1">
      <c r="A165" s="461" t="s">
        <v>2822</v>
      </c>
      <c r="B165" s="461" t="s">
        <v>449</v>
      </c>
      <c r="D165" s="482"/>
      <c r="E165" s="482"/>
      <c r="F165" s="464"/>
      <c r="J165" s="1375">
        <f>+MIN(J161,J163)</f>
        <v>538673.5</v>
      </c>
      <c r="K165" s="1376"/>
      <c r="L165" s="1377"/>
      <c r="N165" s="869"/>
      <c r="O165" s="869"/>
      <c r="P165" s="869"/>
      <c r="Q165" s="869"/>
      <c r="R165" s="869"/>
      <c r="S165" s="869"/>
      <c r="T165" s="869"/>
    </row>
    <row r="166" spans="1:20" ht="3" customHeight="1"/>
    <row r="167" spans="1:20" ht="6" customHeight="1"/>
    <row r="168" spans="1:20" ht="12" customHeight="1">
      <c r="A168" s="461" t="s">
        <v>2824</v>
      </c>
      <c r="B168" s="491" t="s">
        <v>878</v>
      </c>
      <c r="K168" s="461" t="s">
        <v>821</v>
      </c>
      <c r="L168" s="461" t="s">
        <v>89</v>
      </c>
    </row>
    <row r="169" spans="1:20" ht="141.75" customHeight="1">
      <c r="A169" s="1378" t="s">
        <v>4054</v>
      </c>
      <c r="B169" s="1379"/>
      <c r="C169" s="1379"/>
      <c r="D169" s="1379"/>
      <c r="E169" s="1379"/>
      <c r="F169" s="1379"/>
      <c r="G169" s="1379"/>
      <c r="H169" s="1379"/>
      <c r="I169" s="1379"/>
      <c r="J169" s="1380"/>
      <c r="K169" s="1381"/>
      <c r="L169" s="1379"/>
      <c r="M169" s="1379"/>
      <c r="N169" s="1379"/>
      <c r="O169" s="1379"/>
      <c r="P169" s="1379"/>
      <c r="Q169" s="1379"/>
      <c r="R169" s="1379"/>
      <c r="S169" s="1379"/>
      <c r="T169" s="1380"/>
    </row>
    <row r="170" spans="1:20" ht="107.4" customHeight="1">
      <c r="A170" s="1354" t="s">
        <v>4051</v>
      </c>
      <c r="B170" s="1355"/>
      <c r="C170" s="1355"/>
      <c r="D170" s="1355"/>
      <c r="E170" s="1355"/>
      <c r="F170" s="1355"/>
      <c r="G170" s="1355"/>
      <c r="H170" s="1355"/>
      <c r="I170" s="1355"/>
      <c r="J170" s="1356"/>
      <c r="K170" s="1357"/>
      <c r="L170" s="1355"/>
      <c r="M170" s="1355"/>
      <c r="N170" s="1355"/>
      <c r="O170" s="1355"/>
      <c r="P170" s="1355"/>
      <c r="Q170" s="1355"/>
      <c r="R170" s="1355"/>
      <c r="S170" s="1355"/>
      <c r="T170" s="1356"/>
    </row>
    <row r="171" spans="1:20" s="458" customFormat="1" ht="107.4" customHeight="1">
      <c r="A171" s="1354" t="s">
        <v>4041</v>
      </c>
      <c r="B171" s="1355"/>
      <c r="C171" s="1355"/>
      <c r="D171" s="1355"/>
      <c r="E171" s="1355"/>
      <c r="F171" s="1355"/>
      <c r="G171" s="1355"/>
      <c r="H171" s="1355"/>
      <c r="I171" s="1355"/>
      <c r="J171" s="1356"/>
      <c r="K171" s="1357"/>
      <c r="L171" s="1355"/>
      <c r="M171" s="1355"/>
      <c r="N171" s="1355"/>
      <c r="O171" s="1355"/>
      <c r="P171" s="1355"/>
      <c r="Q171" s="1355"/>
      <c r="R171" s="1355"/>
      <c r="S171" s="1355"/>
      <c r="T171" s="1356"/>
    </row>
    <row r="172" spans="1:20" ht="107.4" customHeight="1">
      <c r="A172" s="1350" t="s">
        <v>4050</v>
      </c>
      <c r="B172" s="1351"/>
      <c r="C172" s="1351"/>
      <c r="D172" s="1351"/>
      <c r="E172" s="1351"/>
      <c r="F172" s="1351"/>
      <c r="G172" s="1351"/>
      <c r="H172" s="1351"/>
      <c r="I172" s="1351"/>
      <c r="J172" s="1352"/>
      <c r="K172" s="1353"/>
      <c r="L172" s="1351"/>
      <c r="M172" s="1351"/>
      <c r="N172" s="1351"/>
      <c r="O172" s="1351"/>
      <c r="P172" s="1351"/>
      <c r="Q172" s="1351"/>
      <c r="R172" s="1351"/>
      <c r="S172" s="1351"/>
      <c r="T172" s="1352"/>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5"/>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C20" sheet="1" objects="1" scenarios="1" formatCells="0"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B37" sqref="B37:M37"/>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439" t="str">
        <f>CONCATENATE("PART FIVE - UTILITY ALLOWANCES","  -  ",'Part I-Project Information'!$O$4," ",'Part I-Project Information'!$F$22,", ",'Part I-Project Information'!F24,", ",'Part I-Project Information'!J25," County")</f>
        <v>PART FIVE - UTILITY ALLOWANCES  -  2011-003 Pecan Point Apartments, Cochran, Bleckley County</v>
      </c>
      <c r="B1" s="1440"/>
      <c r="C1" s="1440"/>
      <c r="D1" s="1440"/>
      <c r="E1" s="1440"/>
      <c r="F1" s="1440"/>
      <c r="G1" s="1440"/>
      <c r="H1" s="1440"/>
      <c r="I1" s="1440"/>
      <c r="J1" s="1440"/>
      <c r="K1" s="1440"/>
      <c r="L1" s="1440"/>
      <c r="M1" s="1440"/>
      <c r="N1" s="11"/>
      <c r="O1" s="11"/>
      <c r="P1" s="11"/>
      <c r="Q1" s="11"/>
      <c r="R1" s="19"/>
      <c r="S1" s="19"/>
      <c r="T1" s="19"/>
    </row>
    <row r="2" spans="1:20" s="9" customFormat="1"/>
    <row r="3" spans="1:20" s="9" customFormat="1">
      <c r="F3" s="5" t="s">
        <v>805</v>
      </c>
      <c r="I3" s="742" t="str">
        <f>VLOOKUP('Part I-Project Information'!$J$25,'Part I-Project Information'!$C$183:$D$342,2)</f>
        <v>South</v>
      </c>
    </row>
    <row r="4" spans="1:20" s="9" customFormat="1"/>
    <row r="5" spans="1:20" s="9" customFormat="1">
      <c r="A5" s="16" t="s">
        <v>949</v>
      </c>
      <c r="B5" s="16" t="s">
        <v>3350</v>
      </c>
      <c r="F5" s="9" t="s">
        <v>3804</v>
      </c>
      <c r="I5" s="1441" t="s">
        <v>4023</v>
      </c>
      <c r="J5" s="1442"/>
      <c r="K5" s="1442"/>
      <c r="L5" s="1442"/>
      <c r="M5" s="1443"/>
    </row>
    <row r="6" spans="1:20" s="9" customFormat="1" ht="13.2" customHeight="1">
      <c r="A6" s="16"/>
      <c r="F6" s="9" t="s">
        <v>971</v>
      </c>
      <c r="H6" s="31"/>
      <c r="I6" s="1444">
        <v>40544</v>
      </c>
      <c r="J6" s="1445"/>
      <c r="K6" s="77" t="s">
        <v>832</v>
      </c>
      <c r="L6" s="1446" t="s">
        <v>4024</v>
      </c>
      <c r="M6" s="1443"/>
    </row>
    <row r="7" spans="1:20" s="9" customFormat="1" ht="6" customHeight="1">
      <c r="A7" s="16"/>
    </row>
    <row r="8" spans="1:20" s="16" customFormat="1">
      <c r="B8" s="337"/>
      <c r="C8" s="337"/>
      <c r="D8" s="337"/>
      <c r="E8" s="337"/>
      <c r="F8" s="1448" t="s">
        <v>941</v>
      </c>
      <c r="G8" s="1448"/>
      <c r="I8" s="1447" t="s">
        <v>258</v>
      </c>
      <c r="J8" s="1447"/>
      <c r="K8" s="1447"/>
      <c r="L8" s="1447"/>
      <c r="M8" s="1447"/>
    </row>
    <row r="9" spans="1:20" s="16" customFormat="1">
      <c r="B9" s="337" t="s">
        <v>1379</v>
      </c>
      <c r="D9" s="337" t="s">
        <v>2360</v>
      </c>
      <c r="F9" s="736" t="s">
        <v>977</v>
      </c>
      <c r="G9" s="736" t="s">
        <v>2902</v>
      </c>
      <c r="I9" s="338">
        <v>0</v>
      </c>
      <c r="J9" s="339">
        <v>1</v>
      </c>
      <c r="K9" s="339">
        <v>2</v>
      </c>
      <c r="L9" s="339">
        <v>3</v>
      </c>
      <c r="M9" s="339">
        <v>4</v>
      </c>
    </row>
    <row r="10" spans="1:20" s="9" customFormat="1">
      <c r="B10" s="340" t="s">
        <v>2904</v>
      </c>
      <c r="C10" s="341"/>
      <c r="D10" s="1449" t="s">
        <v>2356</v>
      </c>
      <c r="E10" s="1450"/>
      <c r="F10" s="857" t="s">
        <v>651</v>
      </c>
      <c r="G10" s="857"/>
      <c r="H10" s="342"/>
      <c r="I10" s="858"/>
      <c r="J10" s="858"/>
      <c r="K10" s="858"/>
      <c r="L10" s="858"/>
      <c r="M10" s="858"/>
    </row>
    <row r="11" spans="1:20" s="9" customFormat="1">
      <c r="B11" s="343" t="s">
        <v>686</v>
      </c>
      <c r="C11" s="344"/>
      <c r="D11" s="343" t="s">
        <v>2356</v>
      </c>
      <c r="E11" s="344"/>
      <c r="F11" s="859" t="s">
        <v>651</v>
      </c>
      <c r="G11" s="859"/>
      <c r="H11" s="345"/>
      <c r="I11" s="860"/>
      <c r="J11" s="860"/>
      <c r="K11" s="860"/>
      <c r="L11" s="861"/>
      <c r="M11" s="861"/>
    </row>
    <row r="12" spans="1:20" s="9" customFormat="1">
      <c r="B12" s="343" t="s">
        <v>2357</v>
      </c>
      <c r="C12" s="344"/>
      <c r="D12" s="1451" t="s">
        <v>2356</v>
      </c>
      <c r="E12" s="1452"/>
      <c r="F12" s="859" t="s">
        <v>651</v>
      </c>
      <c r="G12" s="859"/>
      <c r="H12" s="345"/>
      <c r="I12" s="860"/>
      <c r="J12" s="860"/>
      <c r="K12" s="860"/>
      <c r="L12" s="861"/>
      <c r="M12" s="861"/>
    </row>
    <row r="13" spans="1:20" s="9" customFormat="1">
      <c r="B13" s="343" t="s">
        <v>2358</v>
      </c>
      <c r="C13" s="344"/>
      <c r="D13" s="1451" t="s">
        <v>2356</v>
      </c>
      <c r="E13" s="1452"/>
      <c r="F13" s="859" t="s">
        <v>651</v>
      </c>
      <c r="G13" s="859"/>
      <c r="H13" s="345"/>
      <c r="I13" s="860"/>
      <c r="J13" s="860"/>
      <c r="K13" s="860"/>
      <c r="L13" s="861"/>
      <c r="M13" s="861"/>
    </row>
    <row r="14" spans="1:20" s="9" customFormat="1">
      <c r="B14" s="343" t="s">
        <v>2359</v>
      </c>
      <c r="C14" s="344"/>
      <c r="D14" s="343" t="s">
        <v>2356</v>
      </c>
      <c r="E14" s="346"/>
      <c r="F14" s="859" t="s">
        <v>651</v>
      </c>
      <c r="G14" s="859"/>
      <c r="H14" s="345"/>
      <c r="I14" s="860"/>
      <c r="J14" s="860">
        <v>76</v>
      </c>
      <c r="K14" s="860">
        <v>95</v>
      </c>
      <c r="L14" s="861"/>
      <c r="M14" s="861"/>
    </row>
    <row r="15" spans="1:20" s="9" customFormat="1">
      <c r="B15" s="343" t="s">
        <v>2071</v>
      </c>
      <c r="C15" s="344"/>
      <c r="D15" s="343" t="s">
        <v>3349</v>
      </c>
      <c r="E15" s="862" t="s">
        <v>3918</v>
      </c>
      <c r="F15" s="859" t="s">
        <v>651</v>
      </c>
      <c r="G15" s="859"/>
      <c r="H15" s="345"/>
      <c r="I15" s="860"/>
      <c r="J15" s="860">
        <v>18</v>
      </c>
      <c r="K15" s="860">
        <v>23</v>
      </c>
      <c r="L15" s="861"/>
      <c r="M15" s="861"/>
    </row>
    <row r="16" spans="1:20" s="9" customFormat="1">
      <c r="B16" s="347" t="s">
        <v>2903</v>
      </c>
      <c r="C16" s="348"/>
      <c r="D16" s="347"/>
      <c r="E16" s="315"/>
      <c r="F16" s="863" t="s">
        <v>651</v>
      </c>
      <c r="G16" s="863"/>
      <c r="H16" s="349"/>
      <c r="I16" s="864"/>
      <c r="J16" s="864">
        <v>16</v>
      </c>
      <c r="K16" s="864">
        <v>16</v>
      </c>
      <c r="L16" s="865"/>
      <c r="M16" s="865"/>
    </row>
    <row r="17" spans="1:19" s="9" customFormat="1">
      <c r="B17" s="337" t="s">
        <v>1639</v>
      </c>
      <c r="D17" s="31"/>
      <c r="E17" s="31"/>
      <c r="F17" s="111"/>
      <c r="G17" s="111"/>
      <c r="I17" s="736">
        <f>SUM(I10:I16)</f>
        <v>0</v>
      </c>
      <c r="J17" s="736">
        <f>SUM(J10:J16)</f>
        <v>110</v>
      </c>
      <c r="K17" s="736">
        <f>SUM(K10:K16)</f>
        <v>134</v>
      </c>
      <c r="L17" s="736">
        <f>SUM(L10:L16)</f>
        <v>0</v>
      </c>
      <c r="M17" s="736">
        <f>SUM(M10:M16)</f>
        <v>0</v>
      </c>
    </row>
    <row r="18" spans="1:19" s="9" customFormat="1" ht="11.25" customHeight="1">
      <c r="M18" s="31"/>
      <c r="N18" s="31"/>
      <c r="O18" s="31"/>
      <c r="P18" s="31"/>
      <c r="Q18" s="31"/>
      <c r="R18" s="31"/>
      <c r="S18" s="31"/>
    </row>
    <row r="19" spans="1:19" s="9" customFormat="1">
      <c r="A19" s="16" t="s">
        <v>1228</v>
      </c>
      <c r="B19" s="16" t="s">
        <v>3351</v>
      </c>
      <c r="F19" s="9" t="s">
        <v>3804</v>
      </c>
      <c r="I19" s="1446"/>
      <c r="J19" s="1442"/>
      <c r="K19" s="1442"/>
      <c r="L19" s="1442"/>
      <c r="M19" s="1443"/>
    </row>
    <row r="20" spans="1:19" s="9" customFormat="1" ht="13.2" customHeight="1">
      <c r="A20" s="16"/>
      <c r="B20" s="16"/>
      <c r="F20" s="9" t="s">
        <v>971</v>
      </c>
      <c r="H20" s="31"/>
      <c r="I20" s="1444"/>
      <c r="J20" s="1445"/>
      <c r="K20" s="77" t="s">
        <v>832</v>
      </c>
      <c r="L20" s="1446"/>
      <c r="M20" s="1443"/>
    </row>
    <row r="21" spans="1:19" s="9" customFormat="1" ht="6" customHeight="1">
      <c r="A21" s="16"/>
    </row>
    <row r="22" spans="1:19" s="16" customFormat="1">
      <c r="B22" s="337"/>
      <c r="C22" s="337"/>
      <c r="D22" s="337"/>
      <c r="E22" s="337"/>
      <c r="F22" s="1448" t="s">
        <v>941</v>
      </c>
      <c r="G22" s="1448"/>
      <c r="I22" s="1447" t="s">
        <v>258</v>
      </c>
      <c r="J22" s="1447"/>
      <c r="K22" s="1447"/>
      <c r="L22" s="1447"/>
      <c r="M22" s="1447"/>
    </row>
    <row r="23" spans="1:19" s="16" customFormat="1">
      <c r="B23" s="337" t="s">
        <v>1379</v>
      </c>
      <c r="D23" s="337" t="s">
        <v>2360</v>
      </c>
      <c r="F23" s="736" t="s">
        <v>977</v>
      </c>
      <c r="G23" s="736" t="s">
        <v>2902</v>
      </c>
      <c r="I23" s="338">
        <v>0</v>
      </c>
      <c r="J23" s="339">
        <v>1</v>
      </c>
      <c r="K23" s="339">
        <v>2</v>
      </c>
      <c r="L23" s="339">
        <v>3</v>
      </c>
      <c r="M23" s="339">
        <v>4</v>
      </c>
    </row>
    <row r="24" spans="1:19" s="9" customFormat="1">
      <c r="B24" s="340" t="s">
        <v>2904</v>
      </c>
      <c r="C24" s="341"/>
      <c r="D24" s="1449" t="s">
        <v>2860</v>
      </c>
      <c r="E24" s="1450"/>
      <c r="F24" s="857"/>
      <c r="G24" s="857"/>
      <c r="H24" s="342"/>
      <c r="I24" s="858"/>
      <c r="J24" s="858"/>
      <c r="K24" s="858"/>
      <c r="L24" s="858"/>
      <c r="M24" s="858"/>
    </row>
    <row r="25" spans="1:19" s="9" customFormat="1">
      <c r="B25" s="343" t="s">
        <v>686</v>
      </c>
      <c r="C25" s="344"/>
      <c r="D25" s="343" t="s">
        <v>2356</v>
      </c>
      <c r="E25" s="344"/>
      <c r="F25" s="859"/>
      <c r="G25" s="859"/>
      <c r="H25" s="345"/>
      <c r="I25" s="860"/>
      <c r="J25" s="860"/>
      <c r="K25" s="860"/>
      <c r="L25" s="861"/>
      <c r="M25" s="861"/>
    </row>
    <row r="26" spans="1:19" s="9" customFormat="1">
      <c r="B26" s="343" t="s">
        <v>2357</v>
      </c>
      <c r="C26" s="344"/>
      <c r="D26" s="1451" t="s">
        <v>2860</v>
      </c>
      <c r="E26" s="1452"/>
      <c r="F26" s="859"/>
      <c r="G26" s="859"/>
      <c r="H26" s="345"/>
      <c r="I26" s="860"/>
      <c r="J26" s="860"/>
      <c r="K26" s="860"/>
      <c r="L26" s="861"/>
      <c r="M26" s="861"/>
    </row>
    <row r="27" spans="1:19" s="9" customFormat="1">
      <c r="B27" s="343" t="s">
        <v>2358</v>
      </c>
      <c r="C27" s="344"/>
      <c r="D27" s="1451" t="s">
        <v>2860</v>
      </c>
      <c r="E27" s="1452"/>
      <c r="F27" s="859"/>
      <c r="G27" s="859"/>
      <c r="H27" s="345"/>
      <c r="I27" s="860"/>
      <c r="J27" s="860"/>
      <c r="K27" s="860"/>
      <c r="L27" s="861"/>
      <c r="M27" s="861"/>
    </row>
    <row r="28" spans="1:19" s="9" customFormat="1">
      <c r="B28" s="343" t="s">
        <v>2359</v>
      </c>
      <c r="C28" s="344"/>
      <c r="D28" s="343" t="s">
        <v>2356</v>
      </c>
      <c r="E28" s="346"/>
      <c r="F28" s="859"/>
      <c r="G28" s="859"/>
      <c r="H28" s="345"/>
      <c r="I28" s="860"/>
      <c r="J28" s="860"/>
      <c r="K28" s="860"/>
      <c r="L28" s="861"/>
      <c r="M28" s="861"/>
    </row>
    <row r="29" spans="1:19" s="9" customFormat="1">
      <c r="B29" s="343" t="s">
        <v>2071</v>
      </c>
      <c r="C29" s="344"/>
      <c r="D29" s="343" t="s">
        <v>3349</v>
      </c>
      <c r="E29" s="862" t="s">
        <v>259</v>
      </c>
      <c r="F29" s="859"/>
      <c r="G29" s="859"/>
      <c r="H29" s="345"/>
      <c r="I29" s="860"/>
      <c r="J29" s="860"/>
      <c r="K29" s="860"/>
      <c r="L29" s="861"/>
      <c r="M29" s="861"/>
    </row>
    <row r="30" spans="1:19" s="9" customFormat="1">
      <c r="B30" s="347" t="s">
        <v>2903</v>
      </c>
      <c r="C30" s="348"/>
      <c r="D30" s="347"/>
      <c r="E30" s="315"/>
      <c r="F30" s="863"/>
      <c r="G30" s="863"/>
      <c r="H30" s="349"/>
      <c r="I30" s="864"/>
      <c r="J30" s="864"/>
      <c r="K30" s="864"/>
      <c r="L30" s="865"/>
      <c r="M30" s="865"/>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459" t="s">
        <v>4025</v>
      </c>
      <c r="C36" s="1460"/>
      <c r="D36" s="1460"/>
      <c r="E36" s="1460"/>
      <c r="F36" s="1460"/>
      <c r="G36" s="1460"/>
      <c r="H36" s="1460"/>
      <c r="I36" s="1460"/>
      <c r="J36" s="1460"/>
      <c r="K36" s="1460"/>
      <c r="L36" s="1460"/>
      <c r="M36" s="1461"/>
      <c r="N36" s="31"/>
      <c r="O36" s="31"/>
      <c r="P36" s="31"/>
      <c r="Q36" s="31"/>
      <c r="R36" s="31"/>
      <c r="S36" s="31"/>
    </row>
    <row r="37" spans="1:19" s="9" customFormat="1" ht="12" customHeight="1">
      <c r="B37" s="1462" t="s">
        <v>4026</v>
      </c>
      <c r="C37" s="1463"/>
      <c r="D37" s="1463"/>
      <c r="E37" s="1463"/>
      <c r="F37" s="1463"/>
      <c r="G37" s="1463"/>
      <c r="H37" s="1463"/>
      <c r="I37" s="1463"/>
      <c r="J37" s="1463"/>
      <c r="K37" s="1463"/>
      <c r="L37" s="1463"/>
      <c r="M37" s="146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453"/>
      <c r="C40" s="1454"/>
      <c r="D40" s="1454"/>
      <c r="E40" s="1454"/>
      <c r="F40" s="1454"/>
      <c r="G40" s="1454"/>
      <c r="H40" s="1454"/>
      <c r="I40" s="1454"/>
      <c r="J40" s="1454"/>
      <c r="K40" s="1454"/>
      <c r="L40" s="1454"/>
      <c r="M40" s="1455"/>
      <c r="N40" s="31"/>
      <c r="O40" s="31"/>
      <c r="P40" s="31"/>
      <c r="Q40" s="31"/>
      <c r="R40" s="31"/>
      <c r="S40" s="31"/>
    </row>
    <row r="41" spans="1:19" s="9" customFormat="1" ht="12" customHeight="1">
      <c r="B41" s="1456"/>
      <c r="C41" s="1457"/>
      <c r="D41" s="1457"/>
      <c r="E41" s="1457"/>
      <c r="F41" s="1457"/>
      <c r="G41" s="1457"/>
      <c r="H41" s="1457"/>
      <c r="I41" s="1457"/>
      <c r="J41" s="1457"/>
      <c r="K41" s="1457"/>
      <c r="L41" s="1457"/>
      <c r="M41" s="1458"/>
      <c r="N41" s="31"/>
      <c r="O41" s="31"/>
      <c r="P41" s="31"/>
      <c r="Q41" s="31"/>
      <c r="R41" s="31"/>
      <c r="S41" s="31"/>
    </row>
  </sheetData>
  <sheetProtection password="DC20" sheet="1" objects="1" scenarios="1" formatCells="0" formatColumns="0" formatRows="0"/>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2011-06-22T14:45:59Z</cp:lastPrinted>
  <dcterms:created xsi:type="dcterms:W3CDTF">2005-09-15T20:51:37Z</dcterms:created>
  <dcterms:modified xsi:type="dcterms:W3CDTF">2011-08-11T18:40:44Z</dcterms:modified>
</cp:coreProperties>
</file>